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53222"/>
  <mc:AlternateContent xmlns:mc="http://schemas.openxmlformats.org/markup-compatibility/2006">
    <mc:Choice Requires="x15">
      <x15ac:absPath xmlns:x15ac="http://schemas.microsoft.com/office/spreadsheetml/2010/11/ac" url="\\focapp002\finadata\EXCEL\ACCOUNTS\Monitoring\MONI 24-25\Operations\Mutual Aid\"/>
    </mc:Choice>
  </mc:AlternateContent>
  <workbookProtection workbookAlgorithmName="SHA-512" workbookHashValue="dhiFG8mLpExAqQK5yuOcjCFV+00KcMVxbgdBVkKlrHQTe31EwhdIWNxOL0g4srANe72Ytmm7vrHtkDLgSDUiAQ==" workbookSaltValue="DVeld9T96GnUksqzl7SCkQ==" workbookSpinCount="100000" lockStructure="1"/>
  <bookViews>
    <workbookView xWindow="0" yWindow="0" windowWidth="16200" windowHeight="12135" tabRatio="835"/>
  </bookViews>
  <sheets>
    <sheet name="MA CLAIM FORM" sheetId="1" r:id="rId1"/>
    <sheet name="IDR ADDL FORM" sheetId="13" r:id="rId2"/>
    <sheet name="TDR RESOURCES" sheetId="11" r:id="rId3"/>
    <sheet name="Rates" sheetId="8" state="hidden" r:id="rId4"/>
    <sheet name="SCP Rates" sheetId="9" state="hidden" r:id="rId5"/>
    <sheet name="Ranks" sheetId="3" state="hidden" r:id="rId6"/>
    <sheet name="Equipment" sheetId="4" state="hidden" r:id="rId7"/>
    <sheet name="Crests" sheetId="12" state="hidden" r:id="rId8"/>
    <sheet name="Mutual aid grades definitions" sheetId="5" state="hidden" r:id="rId9"/>
  </sheets>
  <externalReferences>
    <externalReference r:id="rId10"/>
  </externalReferences>
  <definedNames>
    <definedName name="Allow">Equipment!$A$41:$A$48</definedName>
    <definedName name="Consumables">Equipment!$A$11:$A$15</definedName>
    <definedName name="Consume">Equipment!$A$61:$A$68</definedName>
    <definedName name="CrestPic" localSheetId="1">INDEX(Crests!$B$2:$B$59,MATCH('IDR ADDL FORM'!$A$20,Crests!$A$2:$A$59,0))</definedName>
    <definedName name="CrestPic">INDEX(Crests!$B$2:$B$59,MATCH('MA CLAIM FORM'!$A$20,Crests!$A$2:$A$59,0))</definedName>
    <definedName name="Crestpic2" localSheetId="1">INDEX(Crests!$B$2:$B$59,MATCH('IDR ADDL FORM'!$H$20,Crests!$A$2:$A$59,0))</definedName>
    <definedName name="Crestpic2">INDEX(Crests!$B$2:$B$59,MATCH('MA CLAIM FORM'!$H$20,Crests!$A$2:$A$59,0))</definedName>
    <definedName name="deploy">'Mutual aid grades definitions'!$A$19:$A$21</definedName>
    <definedName name="Dive">Equipment!$A$77:$A$81</definedName>
    <definedName name="Equip">Equipment!$A$54:$A$55</definedName>
    <definedName name="Equipment_2">Equipment!$A$3:$A$7</definedName>
    <definedName name="Force">Crests!$A$2:$A$59</definedName>
    <definedName name="MAG">'Mutual aid grades definitions'!$A$2:$A$6</definedName>
    <definedName name="_xlnm.Print_Area" localSheetId="1">'IDR ADDL FORM'!$A$1:$M$170</definedName>
    <definedName name="_xlnm.Print_Area" localSheetId="0">'MA CLAIM FORM'!$A$1:$M$170</definedName>
    <definedName name="_xlnm.Print_Area" localSheetId="2">'TDR RESOURCES'!$A$1:$M$154</definedName>
    <definedName name="Rank">Ranks!$A$3:$A$49</definedName>
    <definedName name="TDR">Equipment!$A$71:$A$73</definedName>
    <definedName name="Vehicle">Equipment!$A$21:$A$30</definedName>
    <definedName name="YesNo">'Mutual aid grades definitions'!$A$15:$A$17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3" l="1"/>
  <c r="D10" i="3"/>
  <c r="C10" i="3"/>
  <c r="B10" i="3"/>
  <c r="D41" i="9"/>
  <c r="D40" i="9"/>
  <c r="D39" i="9"/>
  <c r="D38" i="9"/>
  <c r="D37" i="9"/>
  <c r="D36" i="9"/>
  <c r="D35" i="9"/>
  <c r="D34" i="9"/>
  <c r="D33" i="9"/>
  <c r="D32" i="9"/>
  <c r="D31" i="9"/>
  <c r="D30" i="9"/>
  <c r="D29" i="9"/>
  <c r="D28" i="9"/>
  <c r="D27" i="9"/>
  <c r="D26" i="9"/>
  <c r="D25" i="9"/>
  <c r="D24" i="9"/>
  <c r="D23" i="9"/>
  <c r="D22" i="9"/>
  <c r="D21" i="9"/>
  <c r="D20" i="9"/>
  <c r="D19" i="9"/>
  <c r="D18" i="9"/>
  <c r="D17" i="9"/>
  <c r="D16" i="9"/>
  <c r="D15" i="9"/>
  <c r="D14" i="9"/>
  <c r="D13" i="9"/>
  <c r="D12" i="9"/>
  <c r="D11" i="9"/>
  <c r="D10" i="9"/>
  <c r="D9" i="9"/>
  <c r="D8" i="9"/>
  <c r="D7" i="9"/>
  <c r="D6" i="9"/>
  <c r="D5" i="9"/>
  <c r="D4"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E7" i="9"/>
  <c r="E6" i="9"/>
  <c r="E5" i="9"/>
  <c r="E4" i="9"/>
  <c r="E3" i="9"/>
  <c r="D3" i="9"/>
  <c r="B23" i="4"/>
  <c r="B24" i="4"/>
  <c r="B25" i="4"/>
  <c r="B26" i="4"/>
  <c r="B27" i="4"/>
  <c r="B28" i="4"/>
  <c r="B29" i="4"/>
  <c r="B30" i="4"/>
  <c r="B22" i="4"/>
  <c r="L5" i="4"/>
  <c r="L6" i="4"/>
  <c r="L7" i="4"/>
  <c r="L8" i="4"/>
  <c r="L9" i="4"/>
  <c r="L10" i="4"/>
  <c r="L11" i="4"/>
  <c r="L12" i="4"/>
  <c r="L4" i="4"/>
  <c r="L101" i="1" l="1"/>
  <c r="L100" i="1"/>
  <c r="L99" i="1"/>
  <c r="L98" i="1"/>
  <c r="L97" i="1"/>
  <c r="L96" i="1"/>
  <c r="L95" i="1"/>
  <c r="L94" i="1"/>
  <c r="L93" i="1"/>
  <c r="D27" i="8" l="1"/>
  <c r="D26" i="8"/>
  <c r="D25" i="8"/>
  <c r="D24" i="8"/>
  <c r="D23" i="8"/>
  <c r="D22" i="8"/>
  <c r="B28" i="8"/>
  <c r="B27" i="8"/>
  <c r="B26" i="8"/>
  <c r="B25" i="8"/>
  <c r="B24" i="8"/>
  <c r="B23" i="8"/>
  <c r="B22" i="8"/>
  <c r="M140" i="1" l="1"/>
  <c r="I155" i="1" l="1"/>
  <c r="V8" i="3" l="1"/>
  <c r="U8" i="3"/>
  <c r="V7" i="3"/>
  <c r="U7" i="3"/>
  <c r="V6" i="3"/>
  <c r="U6" i="3"/>
  <c r="V5" i="3"/>
  <c r="U5" i="3"/>
  <c r="J7" i="9" l="1"/>
  <c r="J9" i="9"/>
  <c r="J10" i="9"/>
  <c r="J15" i="9"/>
  <c r="J17" i="9"/>
  <c r="J18" i="9"/>
  <c r="J23" i="9"/>
  <c r="J25" i="9"/>
  <c r="J26" i="9"/>
  <c r="J31" i="9"/>
  <c r="J33" i="9"/>
  <c r="J34" i="9"/>
  <c r="J39" i="9"/>
  <c r="J41" i="9"/>
  <c r="J3" i="9"/>
  <c r="J40" i="9" l="1"/>
  <c r="J32" i="9"/>
  <c r="J24" i="9"/>
  <c r="J16" i="9"/>
  <c r="J8" i="9"/>
  <c r="J38" i="9"/>
  <c r="J30" i="9"/>
  <c r="J22" i="9"/>
  <c r="J14" i="9"/>
  <c r="J6" i="9"/>
  <c r="J37" i="9"/>
  <c r="J29" i="9"/>
  <c r="J21" i="9"/>
  <c r="J13" i="9"/>
  <c r="J5" i="9"/>
  <c r="J36" i="9"/>
  <c r="J28" i="9"/>
  <c r="J20" i="9"/>
  <c r="J12" i="9"/>
  <c r="J4" i="9"/>
  <c r="J35" i="9"/>
  <c r="J27" i="9"/>
  <c r="J19" i="9"/>
  <c r="J11" i="9"/>
  <c r="D1" i="8" l="1"/>
  <c r="D2" i="8"/>
  <c r="D3" i="8"/>
  <c r="D4" i="8"/>
  <c r="D5" i="8"/>
  <c r="D6" i="8"/>
  <c r="D28" i="8" l="1"/>
  <c r="D14" i="8"/>
  <c r="D33" i="8"/>
  <c r="D45" i="8" s="1"/>
  <c r="D32" i="8"/>
  <c r="D44" i="8" s="1"/>
  <c r="D31" i="8"/>
  <c r="D43" i="8" s="1"/>
  <c r="D30" i="8"/>
  <c r="D42" i="8" s="1"/>
  <c r="D29" i="8"/>
  <c r="D41" i="8" s="1"/>
  <c r="D21" i="8"/>
  <c r="D7" i="8"/>
  <c r="D8" i="8"/>
  <c r="D9" i="8"/>
  <c r="D10" i="8"/>
  <c r="D11" i="8"/>
  <c r="D12" i="8"/>
  <c r="D13" i="8"/>
  <c r="D17" i="8"/>
  <c r="D18" i="8"/>
  <c r="D19" i="8"/>
  <c r="D20" i="8"/>
  <c r="D15" i="8"/>
  <c r="D16" i="8"/>
  <c r="D57" i="13" l="1"/>
  <c r="M86" i="1" l="1"/>
  <c r="B21" i="8" l="1"/>
  <c r="B14" i="8"/>
  <c r="B7" i="8"/>
  <c r="O86" i="1" l="1"/>
  <c r="O85" i="1"/>
  <c r="O84" i="1"/>
  <c r="O83" i="1"/>
  <c r="O82" i="1"/>
  <c r="O81" i="1"/>
  <c r="O80" i="1"/>
  <c r="O79" i="1"/>
  <c r="O78" i="1"/>
  <c r="O77" i="1"/>
  <c r="O76" i="1"/>
  <c r="O75" i="1"/>
  <c r="O73" i="1"/>
  <c r="O72" i="1"/>
  <c r="O71" i="1"/>
  <c r="O70" i="1"/>
  <c r="O69" i="1"/>
  <c r="O68" i="1"/>
  <c r="O67" i="1"/>
  <c r="O66" i="1"/>
  <c r="O65" i="1"/>
  <c r="O64" i="1"/>
  <c r="O63" i="1"/>
  <c r="O61" i="1"/>
  <c r="E87" i="13"/>
  <c r="O87" i="13" s="1"/>
  <c r="E86" i="13"/>
  <c r="E85" i="13"/>
  <c r="O85" i="13" s="1"/>
  <c r="E84" i="13"/>
  <c r="O84" i="13" s="1"/>
  <c r="E83" i="13"/>
  <c r="O83" i="13" s="1"/>
  <c r="E82" i="13"/>
  <c r="O82" i="13" s="1"/>
  <c r="E81" i="13"/>
  <c r="O81" i="13" s="1"/>
  <c r="E80" i="13"/>
  <c r="O80" i="13" s="1"/>
  <c r="E79" i="13"/>
  <c r="O79" i="13" s="1"/>
  <c r="E78" i="13"/>
  <c r="E77" i="13"/>
  <c r="O77" i="13" s="1"/>
  <c r="E76" i="13"/>
  <c r="O76" i="13" s="1"/>
  <c r="E75" i="13"/>
  <c r="O75" i="13" s="1"/>
  <c r="E74" i="13"/>
  <c r="O74" i="13" s="1"/>
  <c r="E73" i="13"/>
  <c r="O73" i="13" s="1"/>
  <c r="E72" i="13"/>
  <c r="O72" i="13" s="1"/>
  <c r="E71" i="13"/>
  <c r="O71" i="13" s="1"/>
  <c r="E70" i="13"/>
  <c r="O70" i="13" s="1"/>
  <c r="E69" i="13"/>
  <c r="O69" i="13" s="1"/>
  <c r="E68" i="13"/>
  <c r="O68" i="13" s="1"/>
  <c r="E67" i="13"/>
  <c r="O67" i="13" s="1"/>
  <c r="E66" i="13"/>
  <c r="O66" i="13" s="1"/>
  <c r="E65" i="13"/>
  <c r="O65" i="13" s="1"/>
  <c r="E64" i="13"/>
  <c r="O64" i="13" s="1"/>
  <c r="E63" i="13"/>
  <c r="O63" i="13" s="1"/>
  <c r="E62" i="13"/>
  <c r="O62" i="13" s="1"/>
  <c r="E61" i="13"/>
  <c r="O61" i="13" s="1"/>
  <c r="O86" i="13"/>
  <c r="O78" i="13"/>
  <c r="O60" i="13"/>
  <c r="O60" i="1"/>
  <c r="J60" i="1" s="1"/>
  <c r="O87" i="1"/>
  <c r="J87" i="1" s="1"/>
  <c r="K87" i="1" s="1"/>
  <c r="M87" i="1" s="1"/>
  <c r="O74" i="1"/>
  <c r="O62" i="1"/>
  <c r="J69" i="11" l="1"/>
  <c r="K69" i="11" s="1"/>
  <c r="J68" i="11"/>
  <c r="K68" i="11" s="1"/>
  <c r="B169" i="13" l="1"/>
  <c r="B168" i="13"/>
  <c r="B167" i="13"/>
  <c r="B166" i="13"/>
  <c r="B165" i="13"/>
  <c r="B154" i="11"/>
  <c r="B153" i="11"/>
  <c r="B152" i="11"/>
  <c r="B151" i="11"/>
  <c r="B150" i="11"/>
  <c r="E136" i="11"/>
  <c r="D136" i="11"/>
  <c r="C136" i="11"/>
  <c r="E134" i="11"/>
  <c r="D134" i="11"/>
  <c r="C134" i="11"/>
  <c r="C132" i="11"/>
  <c r="D25" i="11" l="1"/>
  <c r="L75" i="11"/>
  <c r="L74" i="11"/>
  <c r="L73" i="11"/>
  <c r="L72" i="11"/>
  <c r="L71" i="11"/>
  <c r="L70" i="11"/>
  <c r="L69" i="11"/>
  <c r="M69" i="11" s="1"/>
  <c r="L68" i="11"/>
  <c r="M68" i="11" s="1"/>
  <c r="L87" i="13"/>
  <c r="L86" i="13"/>
  <c r="L85" i="13"/>
  <c r="L84" i="13"/>
  <c r="L83" i="13"/>
  <c r="L82" i="13"/>
  <c r="L81" i="13"/>
  <c r="L80" i="13"/>
  <c r="L79" i="13"/>
  <c r="L78" i="13"/>
  <c r="L77" i="13"/>
  <c r="L76" i="13"/>
  <c r="L75" i="13"/>
  <c r="L74" i="13"/>
  <c r="L73" i="13"/>
  <c r="L72" i="13"/>
  <c r="L71" i="13"/>
  <c r="L70" i="13"/>
  <c r="L69" i="13"/>
  <c r="L68" i="13"/>
  <c r="L67" i="13"/>
  <c r="L66" i="13"/>
  <c r="L65" i="13"/>
  <c r="L64" i="13"/>
  <c r="L63" i="13"/>
  <c r="L62" i="13"/>
  <c r="L61" i="13"/>
  <c r="L60" i="13"/>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H25" i="11" l="1"/>
  <c r="E73" i="11"/>
  <c r="O73" i="11" s="1"/>
  <c r="E69" i="11"/>
  <c r="O69" i="11" s="1"/>
  <c r="E72" i="11"/>
  <c r="O72" i="11" s="1"/>
  <c r="E68" i="11"/>
  <c r="O68" i="11" s="1"/>
  <c r="E75" i="11"/>
  <c r="O75" i="11" s="1"/>
  <c r="E71" i="11"/>
  <c r="O71" i="11" s="1"/>
  <c r="E74" i="11"/>
  <c r="O74" i="11" s="1"/>
  <c r="E70" i="11"/>
  <c r="O70" i="11" s="1"/>
  <c r="A147" i="11"/>
  <c r="A146" i="11"/>
  <c r="A145" i="11"/>
  <c r="A144" i="11"/>
  <c r="A143" i="11"/>
  <c r="A162" i="13"/>
  <c r="A161" i="13"/>
  <c r="A160" i="13"/>
  <c r="A159" i="13"/>
  <c r="A158" i="13"/>
  <c r="E132" i="11" l="1"/>
  <c r="D132" i="11"/>
  <c r="E114" i="11"/>
  <c r="E113" i="11"/>
  <c r="E129" i="13"/>
  <c r="E128" i="13"/>
  <c r="M127" i="11" l="1"/>
  <c r="M126" i="11"/>
  <c r="M125" i="11"/>
  <c r="M124" i="11"/>
  <c r="M123" i="11"/>
  <c r="M122" i="11"/>
  <c r="M121" i="11"/>
  <c r="M120" i="11"/>
  <c r="M119" i="11"/>
  <c r="L111" i="11"/>
  <c r="K111" i="11"/>
  <c r="J111" i="11"/>
  <c r="H111" i="11"/>
  <c r="M111" i="11" s="1"/>
  <c r="L110" i="11"/>
  <c r="K110" i="11"/>
  <c r="J110" i="11"/>
  <c r="H110" i="11"/>
  <c r="M110" i="11" s="1"/>
  <c r="L109" i="11"/>
  <c r="K109" i="11"/>
  <c r="J109" i="11"/>
  <c r="H109" i="11"/>
  <c r="M109" i="11" s="1"/>
  <c r="L108" i="11"/>
  <c r="K108" i="11"/>
  <c r="J108" i="11"/>
  <c r="H108" i="11"/>
  <c r="M108" i="11" s="1"/>
  <c r="L107" i="11"/>
  <c r="K107" i="11"/>
  <c r="J107" i="11"/>
  <c r="H107" i="11"/>
  <c r="M107" i="11" s="1"/>
  <c r="L106" i="11"/>
  <c r="K106" i="11"/>
  <c r="J106" i="11"/>
  <c r="H106" i="11"/>
  <c r="M106" i="11" s="1"/>
  <c r="L105" i="11"/>
  <c r="K105" i="11"/>
  <c r="J105" i="11"/>
  <c r="H105" i="11"/>
  <c r="M105" i="11" s="1"/>
  <c r="L104" i="11"/>
  <c r="K104" i="11"/>
  <c r="J104" i="11"/>
  <c r="H104" i="11"/>
  <c r="M104" i="11" s="1"/>
  <c r="L103" i="11"/>
  <c r="K103" i="11"/>
  <c r="J103" i="11"/>
  <c r="H103" i="11"/>
  <c r="M103" i="11" s="1"/>
  <c r="M89" i="11"/>
  <c r="L89" i="11"/>
  <c r="K89" i="11"/>
  <c r="J89" i="11"/>
  <c r="G89" i="11"/>
  <c r="M88" i="11"/>
  <c r="L88" i="11"/>
  <c r="K88" i="11"/>
  <c r="J88" i="11"/>
  <c r="G88" i="11"/>
  <c r="M87" i="11"/>
  <c r="L87" i="11"/>
  <c r="K87" i="11"/>
  <c r="J87" i="11"/>
  <c r="G87" i="11"/>
  <c r="M86" i="11"/>
  <c r="L86" i="11"/>
  <c r="K86" i="11"/>
  <c r="J86" i="11"/>
  <c r="G86" i="11"/>
  <c r="M85" i="11"/>
  <c r="L85" i="11"/>
  <c r="K85" i="11"/>
  <c r="J85" i="11"/>
  <c r="G85" i="11"/>
  <c r="M84" i="11"/>
  <c r="L84" i="11"/>
  <c r="K84" i="11"/>
  <c r="J84" i="11"/>
  <c r="G84" i="11"/>
  <c r="M83" i="11"/>
  <c r="L83" i="11"/>
  <c r="K83" i="11"/>
  <c r="J83" i="11"/>
  <c r="G83" i="11"/>
  <c r="M82" i="11"/>
  <c r="L82" i="11"/>
  <c r="K82" i="11"/>
  <c r="J82" i="11"/>
  <c r="G82" i="11"/>
  <c r="M81" i="11"/>
  <c r="L81" i="11"/>
  <c r="K81" i="11"/>
  <c r="J81" i="11"/>
  <c r="G81" i="11"/>
  <c r="M112" i="11" l="1"/>
  <c r="L134" i="11" s="1"/>
  <c r="M128" i="11"/>
  <c r="L136" i="11" s="1"/>
  <c r="M90" i="11"/>
  <c r="L133" i="11" s="1"/>
  <c r="I31" i="13"/>
  <c r="I29" i="13"/>
  <c r="I27" i="13"/>
  <c r="M101" i="1" l="1"/>
  <c r="K101" i="1"/>
  <c r="J101" i="1"/>
  <c r="M100" i="1"/>
  <c r="K100" i="1"/>
  <c r="J100" i="1"/>
  <c r="M99" i="1"/>
  <c r="K99" i="1"/>
  <c r="J99" i="1"/>
  <c r="M98" i="1"/>
  <c r="K98" i="1"/>
  <c r="J98" i="1"/>
  <c r="M97" i="1"/>
  <c r="K97" i="1"/>
  <c r="J97" i="1"/>
  <c r="M96" i="1"/>
  <c r="K96" i="1"/>
  <c r="J96" i="1"/>
  <c r="M95" i="1"/>
  <c r="K95" i="1"/>
  <c r="J95" i="1"/>
  <c r="M94" i="1"/>
  <c r="K94" i="1"/>
  <c r="J94" i="1"/>
  <c r="K93" i="1"/>
  <c r="J93" i="1"/>
  <c r="M93" i="1" s="1"/>
  <c r="G101" i="13"/>
  <c r="G100" i="13"/>
  <c r="G99" i="13"/>
  <c r="G98" i="13"/>
  <c r="G97" i="13"/>
  <c r="G96" i="13"/>
  <c r="G95" i="13"/>
  <c r="G94" i="13"/>
  <c r="K94" i="13" s="1"/>
  <c r="G93" i="13"/>
  <c r="J93" i="13" s="1"/>
  <c r="M101" i="13"/>
  <c r="L101" i="13"/>
  <c r="K101" i="13"/>
  <c r="J101" i="13"/>
  <c r="M100" i="13"/>
  <c r="L100" i="13"/>
  <c r="K100" i="13"/>
  <c r="J100" i="13"/>
  <c r="M99" i="13"/>
  <c r="L99" i="13"/>
  <c r="K99" i="13"/>
  <c r="J99" i="13"/>
  <c r="M98" i="13"/>
  <c r="L98" i="13"/>
  <c r="K98" i="13"/>
  <c r="J98" i="13"/>
  <c r="M97" i="13"/>
  <c r="L97" i="13"/>
  <c r="K97" i="13"/>
  <c r="J97" i="13"/>
  <c r="M96" i="13"/>
  <c r="L96" i="13"/>
  <c r="K96" i="13"/>
  <c r="J96" i="13"/>
  <c r="M95" i="13"/>
  <c r="L95" i="13"/>
  <c r="K95" i="13"/>
  <c r="J95" i="13"/>
  <c r="L94" i="13"/>
  <c r="K93" i="13"/>
  <c r="C44" i="4"/>
  <c r="J94" i="13" l="1"/>
  <c r="M94" i="13"/>
  <c r="C31" i="13"/>
  <c r="C29" i="13"/>
  <c r="C27" i="13"/>
  <c r="M22" i="13"/>
  <c r="K22" i="13"/>
  <c r="D22" i="13"/>
  <c r="E151" i="13" l="1"/>
  <c r="D151" i="13"/>
  <c r="C151" i="13"/>
  <c r="E149" i="13"/>
  <c r="D149" i="13"/>
  <c r="C149" i="13"/>
  <c r="E147" i="13"/>
  <c r="D147" i="13"/>
  <c r="C147" i="13"/>
  <c r="M142" i="13"/>
  <c r="M141" i="13"/>
  <c r="M140" i="13"/>
  <c r="M139" i="13"/>
  <c r="M138" i="13"/>
  <c r="M137" i="13"/>
  <c r="M136" i="13"/>
  <c r="M135" i="13"/>
  <c r="M134" i="13"/>
  <c r="L126" i="13"/>
  <c r="K126" i="13"/>
  <c r="J126" i="13"/>
  <c r="H126" i="13"/>
  <c r="M126" i="13" s="1"/>
  <c r="L125" i="13"/>
  <c r="K125" i="13"/>
  <c r="J125" i="13"/>
  <c r="H125" i="13"/>
  <c r="M125" i="13" s="1"/>
  <c r="L124" i="13"/>
  <c r="K124" i="13"/>
  <c r="J124" i="13"/>
  <c r="H124" i="13"/>
  <c r="M124" i="13" s="1"/>
  <c r="L123" i="13"/>
  <c r="K123" i="13"/>
  <c r="J123" i="13"/>
  <c r="H123" i="13"/>
  <c r="M123" i="13" s="1"/>
  <c r="L122" i="13"/>
  <c r="K122" i="13"/>
  <c r="J122" i="13"/>
  <c r="H122" i="13"/>
  <c r="M122" i="13" s="1"/>
  <c r="L121" i="13"/>
  <c r="K121" i="13"/>
  <c r="J121" i="13"/>
  <c r="H121" i="13"/>
  <c r="M121" i="13" s="1"/>
  <c r="J120" i="13"/>
  <c r="K120" i="13" s="1"/>
  <c r="H120" i="13"/>
  <c r="L120" i="13" s="1"/>
  <c r="J119" i="13"/>
  <c r="K119" i="13" s="1"/>
  <c r="H119" i="13"/>
  <c r="L119" i="13" s="1"/>
  <c r="J118" i="13"/>
  <c r="K118" i="13" s="1"/>
  <c r="H118" i="13"/>
  <c r="M110" i="13"/>
  <c r="J110" i="13"/>
  <c r="M109" i="13"/>
  <c r="J109" i="13"/>
  <c r="M108" i="13"/>
  <c r="J108" i="13"/>
  <c r="B103" i="13"/>
  <c r="L93" i="13"/>
  <c r="J87" i="13"/>
  <c r="K87" i="13" s="1"/>
  <c r="M87" i="13" s="1"/>
  <c r="J86" i="13"/>
  <c r="K86" i="13" s="1"/>
  <c r="M86" i="13" s="1"/>
  <c r="J85" i="13"/>
  <c r="K85" i="13" s="1"/>
  <c r="M85" i="13" s="1"/>
  <c r="J84" i="13"/>
  <c r="K84" i="13" s="1"/>
  <c r="M84" i="13" s="1"/>
  <c r="J83" i="13"/>
  <c r="K83" i="13" s="1"/>
  <c r="M83" i="13" s="1"/>
  <c r="J82" i="13"/>
  <c r="K82" i="13" s="1"/>
  <c r="M82" i="13" s="1"/>
  <c r="J81" i="13"/>
  <c r="K81" i="13" s="1"/>
  <c r="M81" i="13" s="1"/>
  <c r="J80" i="13"/>
  <c r="K80" i="13" s="1"/>
  <c r="M80" i="13" s="1"/>
  <c r="J79" i="13"/>
  <c r="K79" i="13" s="1"/>
  <c r="M79" i="13" s="1"/>
  <c r="J78" i="13"/>
  <c r="J77" i="13"/>
  <c r="J76" i="13"/>
  <c r="J75" i="13"/>
  <c r="J74" i="13"/>
  <c r="J73" i="13"/>
  <c r="J72" i="13"/>
  <c r="J71" i="13"/>
  <c r="J70" i="13"/>
  <c r="J69" i="13"/>
  <c r="J68" i="13"/>
  <c r="J67" i="13"/>
  <c r="J66" i="13"/>
  <c r="J65" i="13"/>
  <c r="J64" i="13"/>
  <c r="J63" i="13"/>
  <c r="J62" i="13"/>
  <c r="J61" i="13"/>
  <c r="G53" i="13"/>
  <c r="G52" i="13"/>
  <c r="G50" i="13"/>
  <c r="H43" i="13"/>
  <c r="A43" i="13"/>
  <c r="H40" i="13"/>
  <c r="D40" i="13"/>
  <c r="K64" i="13" l="1"/>
  <c r="M64" i="13" s="1"/>
  <c r="K68" i="13"/>
  <c r="M68" i="13" s="1"/>
  <c r="K72" i="13"/>
  <c r="M72" i="13" s="1"/>
  <c r="M76" i="13"/>
  <c r="K76" i="13"/>
  <c r="K62" i="13"/>
  <c r="M62" i="13" s="1"/>
  <c r="K61" i="13"/>
  <c r="M61" i="13" s="1"/>
  <c r="K65" i="13"/>
  <c r="M65" i="13" s="1"/>
  <c r="K69" i="13"/>
  <c r="M69" i="13" s="1"/>
  <c r="K73" i="13"/>
  <c r="M73" i="13" s="1"/>
  <c r="K77" i="13"/>
  <c r="M77" i="13" s="1"/>
  <c r="K66" i="13"/>
  <c r="M66" i="13" s="1"/>
  <c r="K70" i="13"/>
  <c r="M70" i="13" s="1"/>
  <c r="K74" i="13"/>
  <c r="M74" i="13" s="1"/>
  <c r="K78" i="13"/>
  <c r="M78" i="13" s="1"/>
  <c r="K63" i="13"/>
  <c r="M63" i="13" s="1"/>
  <c r="K67" i="13"/>
  <c r="M67" i="13" s="1"/>
  <c r="K71" i="13"/>
  <c r="M71" i="13" s="1"/>
  <c r="K75" i="13"/>
  <c r="M75" i="13" s="1"/>
  <c r="M143" i="13"/>
  <c r="L151" i="13" s="1"/>
  <c r="M111" i="13"/>
  <c r="L152" i="13" s="1"/>
  <c r="M93" i="13"/>
  <c r="M102" i="13" s="1"/>
  <c r="L149" i="13" s="1"/>
  <c r="M119" i="13"/>
  <c r="M120" i="13"/>
  <c r="L118" i="13"/>
  <c r="M118" i="13" s="1"/>
  <c r="B103" i="1"/>
  <c r="M127" i="13" l="1"/>
  <c r="L150" i="13" s="1"/>
  <c r="H97" i="11"/>
  <c r="H96" i="11"/>
  <c r="E151" i="1"/>
  <c r="D151" i="1"/>
  <c r="C151" i="1"/>
  <c r="E149" i="1"/>
  <c r="D149" i="1"/>
  <c r="C149" i="1"/>
  <c r="C147" i="1"/>
  <c r="E147" i="1"/>
  <c r="D147" i="1"/>
  <c r="L56" i="11" l="1"/>
  <c r="L55" i="11"/>
  <c r="L54" i="11"/>
  <c r="L53" i="11"/>
  <c r="L52" i="11"/>
  <c r="L51" i="11"/>
  <c r="L50" i="11"/>
  <c r="L38" i="11"/>
  <c r="L37" i="11"/>
  <c r="L36" i="11"/>
  <c r="L35" i="11"/>
  <c r="L34" i="11"/>
  <c r="L33" i="11"/>
  <c r="L32" i="11"/>
  <c r="M142" i="1"/>
  <c r="M141" i="1"/>
  <c r="M139" i="1"/>
  <c r="M138" i="1"/>
  <c r="M137" i="1"/>
  <c r="M136" i="1"/>
  <c r="M135" i="1"/>
  <c r="M134" i="1"/>
  <c r="J32" i="11"/>
  <c r="J33" i="11"/>
  <c r="J34" i="11"/>
  <c r="J35" i="11"/>
  <c r="J36" i="11"/>
  <c r="J37" i="11"/>
  <c r="J38" i="11"/>
  <c r="J50" i="11"/>
  <c r="J51" i="11"/>
  <c r="J53" i="11"/>
  <c r="J54" i="11"/>
  <c r="J55" i="11"/>
  <c r="J56" i="11"/>
  <c r="O66" i="11"/>
  <c r="O67" i="11"/>
  <c r="J70" i="11"/>
  <c r="K70" i="11" s="1"/>
  <c r="M70" i="11" s="1"/>
  <c r="J71" i="11"/>
  <c r="K71" i="11" s="1"/>
  <c r="M71" i="11" s="1"/>
  <c r="J72" i="11"/>
  <c r="K72" i="11" s="1"/>
  <c r="M72" i="11" s="1"/>
  <c r="J73" i="11"/>
  <c r="K73" i="11" s="1"/>
  <c r="M73" i="11" s="1"/>
  <c r="J74" i="11"/>
  <c r="K74" i="11" s="1"/>
  <c r="M74" i="11" s="1"/>
  <c r="J75" i="11"/>
  <c r="K75" i="11" s="1"/>
  <c r="M75" i="11" s="1"/>
  <c r="J97" i="11"/>
  <c r="M97" i="11" s="1"/>
  <c r="L57" i="11" l="1"/>
  <c r="L59" i="11" s="1"/>
  <c r="B73" i="4" s="1"/>
  <c r="H95" i="11" s="1"/>
  <c r="L39" i="11"/>
  <c r="L41" i="11" s="1"/>
  <c r="M76" i="11" l="1"/>
  <c r="L132" i="11" s="1"/>
  <c r="B72" i="4"/>
  <c r="J110" i="1"/>
  <c r="M110" i="1" s="1"/>
  <c r="J109" i="1"/>
  <c r="M109" i="1" s="1"/>
  <c r="J108" i="1"/>
  <c r="M108" i="1" s="1"/>
  <c r="I3" i="9"/>
  <c r="A47" i="8" s="1"/>
  <c r="B47" i="8" s="1"/>
  <c r="I4" i="9"/>
  <c r="A12" i="3" s="1"/>
  <c r="A165" i="8" s="1"/>
  <c r="B165" i="8" s="1"/>
  <c r="I5" i="9"/>
  <c r="A49" i="8" s="1"/>
  <c r="B49" i="8" s="1"/>
  <c r="I6" i="9"/>
  <c r="A14" i="3" s="1"/>
  <c r="I7" i="9"/>
  <c r="A51" i="8" s="1"/>
  <c r="B51" i="8" s="1"/>
  <c r="I8" i="9"/>
  <c r="A16" i="3" s="1"/>
  <c r="A169" i="8" s="1"/>
  <c r="B169" i="8" s="1"/>
  <c r="I9" i="9"/>
  <c r="A53" i="8" s="1"/>
  <c r="B53" i="8" s="1"/>
  <c r="I10" i="9"/>
  <c r="A54" i="8" s="1"/>
  <c r="B54" i="8" s="1"/>
  <c r="I11" i="9"/>
  <c r="A55" i="8" s="1"/>
  <c r="B55" i="8" s="1"/>
  <c r="I12" i="9"/>
  <c r="A20" i="3" s="1"/>
  <c r="I13" i="9"/>
  <c r="A57" i="8" s="1"/>
  <c r="B57" i="8" s="1"/>
  <c r="I14" i="9"/>
  <c r="A58" i="8" s="1"/>
  <c r="B58" i="8" s="1"/>
  <c r="I15" i="9"/>
  <c r="A59" i="8" s="1"/>
  <c r="B59" i="8" s="1"/>
  <c r="I16" i="9"/>
  <c r="A24" i="3" s="1"/>
  <c r="A177" i="8" s="1"/>
  <c r="B177" i="8" s="1"/>
  <c r="I17" i="9"/>
  <c r="A25" i="3" s="1"/>
  <c r="I18" i="9"/>
  <c r="A62" i="8" s="1"/>
  <c r="B62" i="8" s="1"/>
  <c r="I19" i="9"/>
  <c r="A63" i="8" s="1"/>
  <c r="B63" i="8" s="1"/>
  <c r="I20" i="9"/>
  <c r="A28" i="3" s="1"/>
  <c r="A181" i="8" s="1"/>
  <c r="B181" i="8" s="1"/>
  <c r="I21" i="9"/>
  <c r="A65" i="8" s="1"/>
  <c r="B65" i="8" s="1"/>
  <c r="I22" i="9"/>
  <c r="A66" i="8" s="1"/>
  <c r="B66" i="8" s="1"/>
  <c r="I23" i="9"/>
  <c r="A67" i="8" s="1"/>
  <c r="B67" i="8" s="1"/>
  <c r="I24" i="9"/>
  <c r="A32" i="3" s="1"/>
  <c r="A185" i="8" s="1"/>
  <c r="B185" i="8" s="1"/>
  <c r="I25" i="9"/>
  <c r="A69" i="8" s="1"/>
  <c r="B69" i="8" s="1"/>
  <c r="I26" i="9"/>
  <c r="A70" i="8" s="1"/>
  <c r="B70" i="8" s="1"/>
  <c r="I27" i="9"/>
  <c r="A71" i="8" s="1"/>
  <c r="B71" i="8" s="1"/>
  <c r="I28" i="9"/>
  <c r="A36" i="3" s="1"/>
  <c r="I29" i="9"/>
  <c r="A73" i="8" s="1"/>
  <c r="B73" i="8" s="1"/>
  <c r="I30" i="9"/>
  <c r="A74" i="8" s="1"/>
  <c r="B74" i="8" s="1"/>
  <c r="I31" i="9"/>
  <c r="A75" i="8" s="1"/>
  <c r="B75" i="8" s="1"/>
  <c r="I32" i="9"/>
  <c r="A40" i="3" s="1"/>
  <c r="A193" i="8" s="1"/>
  <c r="B193" i="8" s="1"/>
  <c r="I33" i="9"/>
  <c r="A77" i="8" s="1"/>
  <c r="B77" i="8" s="1"/>
  <c r="I34" i="9"/>
  <c r="A78" i="8" s="1"/>
  <c r="B78" i="8" s="1"/>
  <c r="I35" i="9"/>
  <c r="A79" i="8" s="1"/>
  <c r="B79" i="8" s="1"/>
  <c r="I36" i="9"/>
  <c r="A44" i="3" s="1"/>
  <c r="A197" i="8" s="1"/>
  <c r="B197" i="8" s="1"/>
  <c r="I37" i="9"/>
  <c r="A45" i="3" s="1"/>
  <c r="I38" i="9"/>
  <c r="A82" i="8" s="1"/>
  <c r="B82" i="8" s="1"/>
  <c r="I39" i="9"/>
  <c r="A83" i="8" s="1"/>
  <c r="B83" i="8" s="1"/>
  <c r="I40" i="9"/>
  <c r="A48" i="3" s="1"/>
  <c r="A201" i="8" s="1"/>
  <c r="B201" i="8" s="1"/>
  <c r="I41" i="9"/>
  <c r="A85" i="8" s="1"/>
  <c r="B85" i="8" s="1"/>
  <c r="D242" i="8"/>
  <c r="A47" i="3"/>
  <c r="A15" i="3"/>
  <c r="A17" i="3"/>
  <c r="A23" i="3"/>
  <c r="A176" i="8" s="1"/>
  <c r="B176" i="8" s="1"/>
  <c r="A26" i="3"/>
  <c r="A33" i="3"/>
  <c r="A186" i="8" s="1"/>
  <c r="B186" i="8" s="1"/>
  <c r="J1" i="9"/>
  <c r="K1" i="9" s="1"/>
  <c r="L1" i="9" s="1"/>
  <c r="M1" i="9" s="1"/>
  <c r="O1" i="9" s="1"/>
  <c r="P1" i="9" s="1"/>
  <c r="Q1" i="9" s="1"/>
  <c r="R1" i="9" s="1"/>
  <c r="D281" i="8"/>
  <c r="A35" i="3" l="1"/>
  <c r="A206" i="8"/>
  <c r="B206" i="8" s="1"/>
  <c r="A167" i="8"/>
  <c r="B167" i="8" s="1"/>
  <c r="A46" i="3"/>
  <c r="A120" i="8"/>
  <c r="B120" i="8" s="1"/>
  <c r="A198" i="8"/>
  <c r="B198" i="8" s="1"/>
  <c r="A50" i="8"/>
  <c r="B50" i="8" s="1"/>
  <c r="A101" i="8"/>
  <c r="B101" i="8" s="1"/>
  <c r="A179" i="8"/>
  <c r="B179" i="8" s="1"/>
  <c r="A267" i="8"/>
  <c r="B267" i="8" s="1"/>
  <c r="A189" i="8"/>
  <c r="B189" i="8" s="1"/>
  <c r="A251" i="8"/>
  <c r="B251" i="8" s="1"/>
  <c r="A173" i="8"/>
  <c r="B173" i="8" s="1"/>
  <c r="A161" i="8"/>
  <c r="B161" i="8" s="1"/>
  <c r="A200" i="8"/>
  <c r="B200" i="8" s="1"/>
  <c r="A22" i="3"/>
  <c r="A42" i="3"/>
  <c r="A38" i="3"/>
  <c r="A230" i="8" s="1"/>
  <c r="B230" i="8" s="1"/>
  <c r="A18" i="3"/>
  <c r="A171" i="8" s="1"/>
  <c r="B171" i="8" s="1"/>
  <c r="A34" i="3"/>
  <c r="A226" i="8" s="1"/>
  <c r="B226" i="8" s="1"/>
  <c r="A246" i="8"/>
  <c r="B246" i="8" s="1"/>
  <c r="A168" i="8"/>
  <c r="B168" i="8" s="1"/>
  <c r="A139" i="8"/>
  <c r="B139" i="8" s="1"/>
  <c r="A178" i="8"/>
  <c r="B178" i="8" s="1"/>
  <c r="A149" i="8"/>
  <c r="B149" i="8" s="1"/>
  <c r="A188" i="8"/>
  <c r="B188" i="8" s="1"/>
  <c r="A131" i="8"/>
  <c r="B131" i="8" s="1"/>
  <c r="A170" i="8"/>
  <c r="B170" i="8" s="1"/>
  <c r="A30" i="3"/>
  <c r="A39" i="3"/>
  <c r="A11" i="3"/>
  <c r="A125" i="8" s="1"/>
  <c r="B125" i="8" s="1"/>
  <c r="A19" i="3"/>
  <c r="A43" i="3"/>
  <c r="A316" i="8" s="1"/>
  <c r="B316" i="8" s="1"/>
  <c r="A31" i="3"/>
  <c r="A145" i="8" s="1"/>
  <c r="B145" i="8" s="1"/>
  <c r="A27" i="3"/>
  <c r="A180" i="8" s="1"/>
  <c r="B180" i="8" s="1"/>
  <c r="D282" i="8"/>
  <c r="A29" i="3"/>
  <c r="A13" i="3"/>
  <c r="A49" i="3"/>
  <c r="A37" i="3"/>
  <c r="A21" i="3"/>
  <c r="A41" i="3"/>
  <c r="A272" i="8" s="1"/>
  <c r="B272" i="8" s="1"/>
  <c r="A81" i="8"/>
  <c r="B81" i="8" s="1"/>
  <c r="A61" i="8"/>
  <c r="B61" i="8" s="1"/>
  <c r="D283" i="8"/>
  <c r="A84" i="8"/>
  <c r="B84" i="8" s="1"/>
  <c r="A80" i="8"/>
  <c r="B80" i="8" s="1"/>
  <c r="A76" i="8"/>
  <c r="B76" i="8" s="1"/>
  <c r="A72" i="8"/>
  <c r="B72" i="8" s="1"/>
  <c r="A68" i="8"/>
  <c r="B68" i="8" s="1"/>
  <c r="A64" i="8"/>
  <c r="B64" i="8" s="1"/>
  <c r="A60" i="8"/>
  <c r="B60" i="8" s="1"/>
  <c r="A56" i="8"/>
  <c r="B56" i="8" s="1"/>
  <c r="A52" i="8"/>
  <c r="B52" i="8" s="1"/>
  <c r="A48" i="8"/>
  <c r="B48" i="8" s="1"/>
  <c r="A157" i="8"/>
  <c r="B157" i="8" s="1"/>
  <c r="A152" i="8"/>
  <c r="B152" i="8" s="1"/>
  <c r="A319" i="8"/>
  <c r="B319" i="8" s="1"/>
  <c r="A121" i="8"/>
  <c r="B121" i="8" s="1"/>
  <c r="A160" i="8"/>
  <c r="B160" i="8" s="1"/>
  <c r="A134" i="8"/>
  <c r="B134" i="8" s="1"/>
  <c r="A215" i="8"/>
  <c r="B215" i="8" s="1"/>
  <c r="A137" i="8"/>
  <c r="B137" i="8" s="1"/>
  <c r="A296" i="8"/>
  <c r="B296" i="8" s="1"/>
  <c r="A98" i="8"/>
  <c r="B98" i="8" s="1"/>
  <c r="A132" i="8"/>
  <c r="B132" i="8" s="1"/>
  <c r="A249" i="8"/>
  <c r="B249" i="8" s="1"/>
  <c r="A210" i="8"/>
  <c r="B210" i="8" s="1"/>
  <c r="A291" i="8"/>
  <c r="B291" i="8" s="1"/>
  <c r="A286" i="8"/>
  <c r="B286" i="8" s="1"/>
  <c r="A127" i="8"/>
  <c r="B127" i="8" s="1"/>
  <c r="A205" i="8"/>
  <c r="B205" i="8" s="1"/>
  <c r="A144" i="8"/>
  <c r="B144" i="8" s="1"/>
  <c r="A308" i="8"/>
  <c r="B308" i="8" s="1"/>
  <c r="A264" i="8"/>
  <c r="B264" i="8" s="1"/>
  <c r="A306" i="8"/>
  <c r="B306" i="8" s="1"/>
  <c r="A147" i="8"/>
  <c r="B147" i="8" s="1"/>
  <c r="A258" i="8"/>
  <c r="B258" i="8" s="1"/>
  <c r="A136" i="8"/>
  <c r="B136" i="8" s="1"/>
  <c r="A253" i="8"/>
  <c r="B253" i="8" s="1"/>
  <c r="A248" i="8"/>
  <c r="B248" i="8" s="1"/>
  <c r="A290" i="8"/>
  <c r="B290" i="8" s="1"/>
  <c r="A239" i="8"/>
  <c r="B239" i="8" s="1"/>
  <c r="A320" i="8"/>
  <c r="B320" i="8" s="1"/>
  <c r="A122" i="8"/>
  <c r="B122" i="8" s="1"/>
  <c r="A273" i="8"/>
  <c r="B273" i="8" s="1"/>
  <c r="A234" i="8"/>
  <c r="B234" i="8" s="1"/>
  <c r="A315" i="8"/>
  <c r="B315" i="8" s="1"/>
  <c r="A321" i="8"/>
  <c r="B321" i="8" s="1"/>
  <c r="A240" i="8"/>
  <c r="B240" i="8" s="1"/>
  <c r="A279" i="8"/>
  <c r="B279" i="8" s="1"/>
  <c r="A162" i="8"/>
  <c r="B162" i="8" s="1"/>
  <c r="A123" i="8"/>
  <c r="B123" i="8" s="1"/>
  <c r="A317" i="8"/>
  <c r="B317" i="8" s="1"/>
  <c r="A236" i="8"/>
  <c r="B236" i="8" s="1"/>
  <c r="A158" i="8"/>
  <c r="B158" i="8" s="1"/>
  <c r="A119" i="8"/>
  <c r="B119" i="8" s="1"/>
  <c r="A313" i="8"/>
  <c r="B313" i="8" s="1"/>
  <c r="A232" i="8"/>
  <c r="B232" i="8" s="1"/>
  <c r="A271" i="8"/>
  <c r="B271" i="8" s="1"/>
  <c r="A154" i="8"/>
  <c r="B154" i="8" s="1"/>
  <c r="A115" i="8"/>
  <c r="B115" i="8" s="1"/>
  <c r="A309" i="8"/>
  <c r="B309" i="8" s="1"/>
  <c r="A228" i="8"/>
  <c r="B228" i="8" s="1"/>
  <c r="A150" i="8"/>
  <c r="B150" i="8" s="1"/>
  <c r="A111" i="8"/>
  <c r="B111" i="8" s="1"/>
  <c r="A305" i="8"/>
  <c r="B305" i="8" s="1"/>
  <c r="A224" i="8"/>
  <c r="B224" i="8" s="1"/>
  <c r="A263" i="8"/>
  <c r="B263" i="8" s="1"/>
  <c r="A146" i="8"/>
  <c r="B146" i="8" s="1"/>
  <c r="A107" i="8"/>
  <c r="B107" i="8" s="1"/>
  <c r="A301" i="8"/>
  <c r="B301" i="8" s="1"/>
  <c r="A220" i="8"/>
  <c r="B220" i="8" s="1"/>
  <c r="A142" i="8"/>
  <c r="B142" i="8" s="1"/>
  <c r="A103" i="8"/>
  <c r="B103" i="8" s="1"/>
  <c r="A297" i="8"/>
  <c r="B297" i="8" s="1"/>
  <c r="A216" i="8"/>
  <c r="B216" i="8" s="1"/>
  <c r="A255" i="8"/>
  <c r="B255" i="8" s="1"/>
  <c r="A138" i="8"/>
  <c r="B138" i="8" s="1"/>
  <c r="A99" i="8"/>
  <c r="B99" i="8" s="1"/>
  <c r="A293" i="8"/>
  <c r="B293" i="8" s="1"/>
  <c r="A212" i="8"/>
  <c r="B212" i="8" s="1"/>
  <c r="A95" i="8"/>
  <c r="B95" i="8" s="1"/>
  <c r="A289" i="8"/>
  <c r="B289" i="8" s="1"/>
  <c r="A208" i="8"/>
  <c r="B208" i="8" s="1"/>
  <c r="A247" i="8"/>
  <c r="B247" i="8" s="1"/>
  <c r="A130" i="8"/>
  <c r="B130" i="8" s="1"/>
  <c r="A91" i="8"/>
  <c r="B91" i="8" s="1"/>
  <c r="A285" i="8"/>
  <c r="B285" i="8" s="1"/>
  <c r="A204" i="8"/>
  <c r="B204" i="8" s="1"/>
  <c r="A87" i="8"/>
  <c r="B87" i="8" s="1"/>
  <c r="A108" i="8"/>
  <c r="B108" i="8" s="1"/>
  <c r="A100" i="8"/>
  <c r="B100" i="8" s="1"/>
  <c r="A92" i="8"/>
  <c r="B92" i="8" s="1"/>
  <c r="A126" i="8"/>
  <c r="B126" i="8" s="1"/>
  <c r="A225" i="8"/>
  <c r="B225" i="8" s="1"/>
  <c r="A209" i="8"/>
  <c r="B209" i="8" s="1"/>
  <c r="A278" i="8"/>
  <c r="B278" i="8" s="1"/>
  <c r="A303" i="8"/>
  <c r="B303" i="8" s="1"/>
  <c r="A287" i="8"/>
  <c r="B287" i="8" s="1"/>
  <c r="A140" i="8"/>
  <c r="B140" i="8" s="1"/>
  <c r="A257" i="8"/>
  <c r="B257" i="8" s="1"/>
  <c r="A218" i="8"/>
  <c r="B218" i="8" s="1"/>
  <c r="A299" i="8"/>
  <c r="B299" i="8" s="1"/>
  <c r="A207" i="8"/>
  <c r="B207" i="8" s="1"/>
  <c r="A129" i="8"/>
  <c r="B129" i="8" s="1"/>
  <c r="A288" i="8"/>
  <c r="B288" i="8" s="1"/>
  <c r="A90" i="8"/>
  <c r="B90" i="8" s="1"/>
  <c r="A283" i="8"/>
  <c r="B283" i="8" s="1"/>
  <c r="A113" i="8"/>
  <c r="B113" i="8" s="1"/>
  <c r="A105" i="8"/>
  <c r="B105" i="8" s="1"/>
  <c r="A97" i="8"/>
  <c r="B97" i="8" s="1"/>
  <c r="A89" i="8"/>
  <c r="B89" i="8" s="1"/>
  <c r="A156" i="8"/>
  <c r="B156" i="8" s="1"/>
  <c r="A238" i="8"/>
  <c r="B238" i="8" s="1"/>
  <c r="A222" i="8"/>
  <c r="B222" i="8" s="1"/>
  <c r="A275" i="8"/>
  <c r="B275" i="8" s="1"/>
  <c r="A259" i="8"/>
  <c r="B259" i="8" s="1"/>
  <c r="A243" i="8"/>
  <c r="B243" i="8" s="1"/>
  <c r="A93" i="8"/>
  <c r="B93" i="8" s="1"/>
  <c r="A227" i="8"/>
  <c r="B227" i="8" s="1"/>
  <c r="A110" i="8"/>
  <c r="B110" i="8" s="1"/>
  <c r="A266" i="8"/>
  <c r="B266" i="8" s="1"/>
  <c r="A256" i="8"/>
  <c r="B256" i="8" s="1"/>
  <c r="A298" i="8"/>
  <c r="B298" i="8" s="1"/>
  <c r="A211" i="8"/>
  <c r="B211" i="8" s="1"/>
  <c r="A133" i="8"/>
  <c r="B133" i="8" s="1"/>
  <c r="A94" i="8"/>
  <c r="B94" i="8" s="1"/>
  <c r="A250" i="8"/>
  <c r="B250" i="8" s="1"/>
  <c r="A128" i="8"/>
  <c r="B128" i="8" s="1"/>
  <c r="A245" i="8"/>
  <c r="B245" i="8" s="1"/>
  <c r="A282" i="8"/>
  <c r="B282" i="8" s="1"/>
  <c r="A276" i="8"/>
  <c r="B276" i="8" s="1"/>
  <c r="A318" i="8"/>
  <c r="B318" i="8" s="1"/>
  <c r="A237" i="8"/>
  <c r="B237" i="8" s="1"/>
  <c r="A159" i="8"/>
  <c r="B159" i="8" s="1"/>
  <c r="A88" i="8"/>
  <c r="B88" i="8" s="1"/>
  <c r="A217" i="8"/>
  <c r="B217" i="8" s="1"/>
  <c r="A270" i="8"/>
  <c r="B270" i="8" s="1"/>
  <c r="A254" i="8"/>
  <c r="B254" i="8" s="1"/>
  <c r="A311" i="8"/>
  <c r="B311" i="8" s="1"/>
  <c r="A295" i="8"/>
  <c r="B295" i="8" s="1"/>
  <c r="A274" i="8"/>
  <c r="B274" i="8" s="1"/>
  <c r="J95" i="11"/>
  <c r="M95" i="11" s="1"/>
  <c r="J96" i="11"/>
  <c r="M96" i="11" s="1"/>
  <c r="G94" i="1"/>
  <c r="G95" i="1"/>
  <c r="G96" i="1"/>
  <c r="G97" i="1"/>
  <c r="G98" i="1"/>
  <c r="G99" i="1"/>
  <c r="G100" i="1"/>
  <c r="G101" i="1"/>
  <c r="G93" i="1"/>
  <c r="A118" i="8" l="1"/>
  <c r="B118" i="8" s="1"/>
  <c r="A314" i="8"/>
  <c r="B314" i="8" s="1"/>
  <c r="A265" i="8"/>
  <c r="B265" i="8" s="1"/>
  <c r="A106" i="8"/>
  <c r="B106" i="8" s="1"/>
  <c r="A155" i="8"/>
  <c r="B155" i="8" s="1"/>
  <c r="A304" i="8"/>
  <c r="B304" i="8" s="1"/>
  <c r="A223" i="8"/>
  <c r="B223" i="8" s="1"/>
  <c r="A109" i="8"/>
  <c r="B109" i="8" s="1"/>
  <c r="A307" i="8"/>
  <c r="B307" i="8" s="1"/>
  <c r="A102" i="8"/>
  <c r="B102" i="8" s="1"/>
  <c r="A233" i="8"/>
  <c r="B233" i="8" s="1"/>
  <c r="A194" i="8"/>
  <c r="B194" i="8" s="1"/>
  <c r="A262" i="8"/>
  <c r="B262" i="8" s="1"/>
  <c r="A184" i="8"/>
  <c r="B184" i="8" s="1"/>
  <c r="A148" i="8"/>
  <c r="B148" i="8" s="1"/>
  <c r="A187" i="8"/>
  <c r="B187" i="8" s="1"/>
  <c r="A219" i="8"/>
  <c r="B219" i="8" s="1"/>
  <c r="A96" i="8"/>
  <c r="B96" i="8" s="1"/>
  <c r="A174" i="8"/>
  <c r="B174" i="8" s="1"/>
  <c r="A235" i="8"/>
  <c r="B235" i="8" s="1"/>
  <c r="A196" i="8"/>
  <c r="B196" i="8" s="1"/>
  <c r="A277" i="8"/>
  <c r="B277" i="8" s="1"/>
  <c r="A199" i="8"/>
  <c r="B199" i="8" s="1"/>
  <c r="A300" i="8"/>
  <c r="B300" i="8" s="1"/>
  <c r="A112" i="8"/>
  <c r="B112" i="8" s="1"/>
  <c r="A190" i="8"/>
  <c r="B190" i="8" s="1"/>
  <c r="A292" i="8"/>
  <c r="B292" i="8" s="1"/>
  <c r="A172" i="8"/>
  <c r="B172" i="8" s="1"/>
  <c r="A269" i="8"/>
  <c r="B269" i="8" s="1"/>
  <c r="A191" i="8"/>
  <c r="B191" i="8" s="1"/>
  <c r="A322" i="8"/>
  <c r="B322" i="8" s="1"/>
  <c r="A202" i="8"/>
  <c r="B202" i="8" s="1"/>
  <c r="A117" i="8"/>
  <c r="B117" i="8" s="1"/>
  <c r="A195" i="8"/>
  <c r="B195" i="8" s="1"/>
  <c r="A244" i="8"/>
  <c r="B244" i="8" s="1"/>
  <c r="A166" i="8"/>
  <c r="B166" i="8" s="1"/>
  <c r="A231" i="8"/>
  <c r="B231" i="8" s="1"/>
  <c r="A192" i="8"/>
  <c r="B192" i="8" s="1"/>
  <c r="A214" i="8"/>
  <c r="B214" i="8" s="1"/>
  <c r="A175" i="8"/>
  <c r="B175" i="8" s="1"/>
  <c r="A141" i="8"/>
  <c r="B141" i="8" s="1"/>
  <c r="A302" i="8"/>
  <c r="B302" i="8" s="1"/>
  <c r="A182" i="8"/>
  <c r="B182" i="8" s="1"/>
  <c r="A261" i="8"/>
  <c r="B261" i="8" s="1"/>
  <c r="A183" i="8"/>
  <c r="B183" i="8" s="1"/>
  <c r="A203" i="8"/>
  <c r="B203" i="8" s="1"/>
  <c r="A164" i="8"/>
  <c r="B164" i="8" s="1"/>
  <c r="A242" i="8"/>
  <c r="B242" i="8" s="1"/>
  <c r="A86" i="8"/>
  <c r="B86" i="8" s="1"/>
  <c r="A153" i="8"/>
  <c r="B153" i="8" s="1"/>
  <c r="A284" i="8"/>
  <c r="B284" i="8" s="1"/>
  <c r="A114" i="8"/>
  <c r="B114" i="8" s="1"/>
  <c r="A312" i="8"/>
  <c r="B312" i="8" s="1"/>
  <c r="A116" i="8"/>
  <c r="B116" i="8" s="1"/>
  <c r="A260" i="8"/>
  <c r="B260" i="8" s="1"/>
  <c r="A104" i="8"/>
  <c r="B104" i="8" s="1"/>
  <c r="A143" i="8"/>
  <c r="B143" i="8" s="1"/>
  <c r="A221" i="8"/>
  <c r="B221" i="8" s="1"/>
  <c r="A252" i="8"/>
  <c r="B252" i="8" s="1"/>
  <c r="A151" i="8"/>
  <c r="B151" i="8" s="1"/>
  <c r="A268" i="8"/>
  <c r="B268" i="8" s="1"/>
  <c r="A280" i="8"/>
  <c r="B280" i="8" s="1"/>
  <c r="A124" i="8"/>
  <c r="B124" i="8" s="1"/>
  <c r="A229" i="8"/>
  <c r="B229" i="8" s="1"/>
  <c r="A241" i="8"/>
  <c r="B241" i="8" s="1"/>
  <c r="A163" i="8"/>
  <c r="B163" i="8" s="1"/>
  <c r="A310" i="8"/>
  <c r="B310" i="8" s="1"/>
  <c r="A294" i="8"/>
  <c r="B294" i="8" s="1"/>
  <c r="A213" i="8"/>
  <c r="B213" i="8" s="1"/>
  <c r="A135" i="8"/>
  <c r="B135" i="8" s="1"/>
  <c r="A281" i="8"/>
  <c r="B281" i="8" s="1"/>
  <c r="M98" i="11"/>
  <c r="L135" i="11" s="1"/>
  <c r="D36" i="8" l="1"/>
  <c r="D37" i="8"/>
  <c r="D38" i="8"/>
  <c r="D39" i="8"/>
  <c r="D40" i="8"/>
  <c r="D35" i="8"/>
  <c r="D34" i="8"/>
  <c r="D46" i="8" s="1"/>
  <c r="L138" i="11" l="1"/>
  <c r="L153" i="1" s="1"/>
  <c r="J81" i="1"/>
  <c r="K81" i="1" s="1"/>
  <c r="M81" i="1" s="1"/>
  <c r="J82" i="1"/>
  <c r="K82" i="1" s="1"/>
  <c r="M82" i="1" s="1"/>
  <c r="J83" i="1"/>
  <c r="K83" i="1" s="1"/>
  <c r="M83" i="1" s="1"/>
  <c r="J84" i="1"/>
  <c r="K84" i="1" s="1"/>
  <c r="M84" i="1" s="1"/>
  <c r="J85" i="1"/>
  <c r="M85" i="1" l="1"/>
  <c r="K85" i="1"/>
  <c r="C43" i="4"/>
  <c r="C42" i="4"/>
  <c r="J121" i="1"/>
  <c r="J122" i="1"/>
  <c r="J123" i="1"/>
  <c r="J124" i="1"/>
  <c r="J125" i="1"/>
  <c r="J126" i="1"/>
  <c r="K121" i="1"/>
  <c r="K122" i="1"/>
  <c r="K123" i="1"/>
  <c r="K124" i="1"/>
  <c r="K125" i="1"/>
  <c r="K126" i="1"/>
  <c r="H119" i="1"/>
  <c r="H120" i="1"/>
  <c r="L120" i="1" s="1"/>
  <c r="H121" i="1"/>
  <c r="H122" i="1"/>
  <c r="H123" i="1"/>
  <c r="H124" i="1"/>
  <c r="H125" i="1"/>
  <c r="H126" i="1"/>
  <c r="H118" i="1"/>
  <c r="L121" i="1"/>
  <c r="L122" i="1"/>
  <c r="L123" i="1"/>
  <c r="L124" i="1"/>
  <c r="L125" i="1"/>
  <c r="L126" i="1"/>
  <c r="M111" i="1" l="1"/>
  <c r="L151" i="1" s="1"/>
  <c r="M143" i="1" l="1"/>
  <c r="L150" i="1" s="1"/>
  <c r="M102" i="1"/>
  <c r="L148" i="1" s="1"/>
  <c r="M121" i="1" l="1"/>
  <c r="M122" i="1"/>
  <c r="M123" i="1"/>
  <c r="M124" i="1"/>
  <c r="M125" i="1"/>
  <c r="M126" i="1"/>
  <c r="L119" i="1" l="1"/>
  <c r="L118" i="1"/>
  <c r="D27" i="4" l="1"/>
  <c r="D28" i="4"/>
  <c r="D29" i="4"/>
  <c r="D30" i="4"/>
  <c r="D23" i="4"/>
  <c r="D25" i="4"/>
  <c r="D26" i="4"/>
  <c r="D22" i="4"/>
  <c r="B46" i="8"/>
  <c r="B45" i="8"/>
  <c r="B44" i="8"/>
  <c r="B43" i="8"/>
  <c r="B42" i="8"/>
  <c r="B41" i="8"/>
  <c r="J119" i="1" l="1"/>
  <c r="K119" i="1" s="1"/>
  <c r="M119" i="1" s="1"/>
  <c r="J120" i="1"/>
  <c r="K120" i="1" s="1"/>
  <c r="M120" i="1" s="1"/>
  <c r="J118" i="1"/>
  <c r="K118" i="1" s="1"/>
  <c r="M118" i="1" s="1"/>
  <c r="M127" i="1" l="1"/>
  <c r="L149" i="1" s="1"/>
  <c r="J86" i="1"/>
  <c r="K86" i="1" s="1"/>
  <c r="B2" i="8"/>
  <c r="B3" i="8"/>
  <c r="B4" i="8"/>
  <c r="B5" i="8"/>
  <c r="B6" i="8"/>
  <c r="B8" i="8"/>
  <c r="B9" i="8"/>
  <c r="B10" i="8"/>
  <c r="B11" i="8"/>
  <c r="B12" i="8"/>
  <c r="B13" i="8"/>
  <c r="B15" i="8"/>
  <c r="B16" i="8"/>
  <c r="B17" i="8"/>
  <c r="B18" i="8"/>
  <c r="B19" i="8"/>
  <c r="B20" i="8"/>
  <c r="B29" i="8"/>
  <c r="B30" i="8"/>
  <c r="B31" i="8"/>
  <c r="B32" i="8"/>
  <c r="B33" i="8"/>
  <c r="B34" i="8"/>
  <c r="B35" i="8"/>
  <c r="B36" i="8"/>
  <c r="B37" i="8"/>
  <c r="B38" i="8"/>
  <c r="B39" i="8"/>
  <c r="B40" i="8"/>
  <c r="B1" i="8"/>
  <c r="J61" i="1"/>
  <c r="K61" i="1" s="1"/>
  <c r="M61" i="1" s="1"/>
  <c r="J62" i="1"/>
  <c r="K62" i="1" s="1"/>
  <c r="M62" i="1" s="1"/>
  <c r="J63" i="1"/>
  <c r="K63" i="1" s="1"/>
  <c r="M63" i="1" s="1"/>
  <c r="J64" i="1"/>
  <c r="K64" i="1" s="1"/>
  <c r="M64" i="1" s="1"/>
  <c r="J65" i="1"/>
  <c r="K65" i="1" s="1"/>
  <c r="M65" i="1" s="1"/>
  <c r="J66" i="1"/>
  <c r="K66" i="1" s="1"/>
  <c r="M66" i="1" s="1"/>
  <c r="J67" i="1"/>
  <c r="K67" i="1" s="1"/>
  <c r="M67" i="1" s="1"/>
  <c r="J68" i="1"/>
  <c r="K68" i="1" s="1"/>
  <c r="M68" i="1" s="1"/>
  <c r="J69" i="1"/>
  <c r="K69" i="1" s="1"/>
  <c r="M69" i="1" s="1"/>
  <c r="J70" i="1"/>
  <c r="K70" i="1" s="1"/>
  <c r="M70" i="1" s="1"/>
  <c r="J71" i="1"/>
  <c r="K71" i="1" s="1"/>
  <c r="M71" i="1" s="1"/>
  <c r="J72" i="1"/>
  <c r="K72" i="1" s="1"/>
  <c r="M72" i="1" s="1"/>
  <c r="J73" i="1"/>
  <c r="K73" i="1" s="1"/>
  <c r="M73" i="1" s="1"/>
  <c r="J74" i="1"/>
  <c r="K74" i="1" s="1"/>
  <c r="M74" i="1" s="1"/>
  <c r="J75" i="1"/>
  <c r="K75" i="1" s="1"/>
  <c r="M75" i="1" s="1"/>
  <c r="J76" i="1"/>
  <c r="K76" i="1" s="1"/>
  <c r="M76" i="1" s="1"/>
  <c r="J77" i="1"/>
  <c r="K77" i="1" s="1"/>
  <c r="M77" i="1" s="1"/>
  <c r="J78" i="1"/>
  <c r="K78" i="1" s="1"/>
  <c r="M78" i="1" s="1"/>
  <c r="J79" i="1"/>
  <c r="K79" i="1" s="1"/>
  <c r="M79" i="1" s="1"/>
  <c r="J80" i="1"/>
  <c r="K80" i="1" s="1"/>
  <c r="M80" i="1" s="1"/>
  <c r="G53" i="1"/>
  <c r="J60" i="13" l="1"/>
  <c r="K60" i="13" s="1"/>
  <c r="M60" i="13" s="1"/>
  <c r="M88" i="13" s="1"/>
  <c r="L147" i="13" s="1"/>
  <c r="L155" i="13" s="1"/>
  <c r="K60" i="1"/>
  <c r="G50" i="1"/>
  <c r="G52" i="1"/>
  <c r="H40" i="1"/>
  <c r="D40" i="1"/>
  <c r="H43" i="1"/>
  <c r="A43" i="1"/>
  <c r="M60" i="1" l="1"/>
  <c r="M88" i="1" s="1"/>
  <c r="L147" i="1" l="1"/>
  <c r="L152" i="1" s="1"/>
  <c r="L154" i="1" s="1"/>
  <c r="L155" i="1" l="1"/>
  <c r="L156" i="1" s="1"/>
  <c r="U14" i="9" l="1"/>
  <c r="U8" i="9"/>
  <c r="U41" i="9"/>
  <c r="U6" i="9"/>
  <c r="U34" i="9"/>
  <c r="U40" i="9"/>
  <c r="U28" i="9"/>
  <c r="U10" i="9"/>
  <c r="U23" i="9"/>
  <c r="U3" i="9"/>
  <c r="U15" i="9" l="1"/>
  <c r="U36" i="9"/>
  <c r="U22" i="9"/>
  <c r="U18" i="9"/>
  <c r="U24" i="9"/>
  <c r="U11" i="9"/>
  <c r="U4" i="9"/>
  <c r="U25" i="9"/>
  <c r="R23" i="9"/>
  <c r="D262" i="8" s="1"/>
  <c r="F23" i="9"/>
  <c r="O23" i="9"/>
  <c r="P23" i="9" s="1"/>
  <c r="Q23" i="9" s="1"/>
  <c r="D223" i="8" s="1"/>
  <c r="D304" i="8" s="1"/>
  <c r="R40" i="9"/>
  <c r="D279" i="8" s="1"/>
  <c r="F40" i="9"/>
  <c r="O40" i="9"/>
  <c r="P40" i="9" s="1"/>
  <c r="Q40" i="9" s="1"/>
  <c r="D240" i="8" s="1"/>
  <c r="D321" i="8" s="1"/>
  <c r="F41" i="9"/>
  <c r="R41" i="9"/>
  <c r="D280" i="8" s="1"/>
  <c r="O41" i="9"/>
  <c r="P41" i="9" s="1"/>
  <c r="Q41" i="9" s="1"/>
  <c r="D241" i="8" s="1"/>
  <c r="D322" i="8" s="1"/>
  <c r="F6" i="9"/>
  <c r="O6" i="9"/>
  <c r="P6" i="9" s="1"/>
  <c r="Q6" i="9" s="1"/>
  <c r="D206" i="8" s="1"/>
  <c r="D287" i="8" s="1"/>
  <c r="U30" i="9"/>
  <c r="U39" i="9"/>
  <c r="U5" i="9"/>
  <c r="U37" i="9"/>
  <c r="U32" i="9"/>
  <c r="U9" i="9"/>
  <c r="U27" i="9"/>
  <c r="U35" i="9"/>
  <c r="F10" i="9"/>
  <c r="R10" i="9"/>
  <c r="D249" i="8" s="1"/>
  <c r="O10" i="9"/>
  <c r="P10" i="9" s="1"/>
  <c r="Q10" i="9" s="1"/>
  <c r="D210" i="8" s="1"/>
  <c r="D291" i="8" s="1"/>
  <c r="R8" i="9"/>
  <c r="D247" i="8" s="1"/>
  <c r="F8" i="9"/>
  <c r="O8" i="9"/>
  <c r="P8" i="9" s="1"/>
  <c r="Q8" i="9" s="1"/>
  <c r="D208" i="8" s="1"/>
  <c r="D289" i="8" s="1"/>
  <c r="U17" i="9"/>
  <c r="U16" i="9"/>
  <c r="U12" i="9"/>
  <c r="U20" i="9"/>
  <c r="U26" i="9"/>
  <c r="U38" i="9"/>
  <c r="U21" i="9"/>
  <c r="U31" i="9"/>
  <c r="U19" i="9"/>
  <c r="U7" i="9"/>
  <c r="U29" i="9"/>
  <c r="U33" i="9"/>
  <c r="U13" i="9"/>
  <c r="F28" i="9"/>
  <c r="R28" i="9"/>
  <c r="D267" i="8" s="1"/>
  <c r="O28" i="9"/>
  <c r="P28" i="9" s="1"/>
  <c r="Q28" i="9" s="1"/>
  <c r="D228" i="8" s="1"/>
  <c r="D309" i="8" s="1"/>
  <c r="R34" i="9"/>
  <c r="D273" i="8" s="1"/>
  <c r="F34" i="9"/>
  <c r="O34" i="9"/>
  <c r="P34" i="9" s="1"/>
  <c r="Q34" i="9" s="1"/>
  <c r="D234" i="8" s="1"/>
  <c r="D315" i="8" s="1"/>
  <c r="F14" i="9"/>
  <c r="R14" i="9"/>
  <c r="D253" i="8" s="1"/>
  <c r="O14" i="9"/>
  <c r="P14" i="9" s="1"/>
  <c r="Q14" i="9" s="1"/>
  <c r="D214" i="8" s="1"/>
  <c r="D295" i="8" s="1"/>
  <c r="F3" i="9"/>
  <c r="O3" i="9"/>
  <c r="P3" i="9" s="1"/>
  <c r="Q3" i="9" s="1"/>
  <c r="D203" i="8" s="1"/>
  <c r="D284" i="8" s="1"/>
  <c r="G40" i="9" l="1"/>
  <c r="B40" i="9" s="1"/>
  <c r="K40" i="9" s="1"/>
  <c r="B48" i="3" s="1"/>
  <c r="D84" i="8" s="1"/>
  <c r="G41" i="9"/>
  <c r="B41" i="9" s="1"/>
  <c r="G6" i="9"/>
  <c r="B6" i="9" s="1"/>
  <c r="K6" i="9" s="1"/>
  <c r="B14" i="3" s="1"/>
  <c r="D50" i="8" s="1"/>
  <c r="G10" i="9"/>
  <c r="B10" i="9" s="1"/>
  <c r="K10" i="9" s="1"/>
  <c r="B18" i="3" s="1"/>
  <c r="D54" i="8" s="1"/>
  <c r="G14" i="9"/>
  <c r="B14" i="9" s="1"/>
  <c r="K14" i="9" s="1"/>
  <c r="B22" i="3" s="1"/>
  <c r="D58" i="8" s="1"/>
  <c r="G8" i="9"/>
  <c r="B8" i="9" s="1"/>
  <c r="L8" i="9" s="1"/>
  <c r="G3" i="9"/>
  <c r="B3" i="9" s="1"/>
  <c r="K3" i="9" s="1"/>
  <c r="B11" i="3" s="1"/>
  <c r="D47" i="8" s="1"/>
  <c r="G34" i="9"/>
  <c r="B34" i="9" s="1"/>
  <c r="K34" i="9" s="1"/>
  <c r="B42" i="3" s="1"/>
  <c r="D78" i="8" s="1"/>
  <c r="G23" i="9"/>
  <c r="B23" i="9" s="1"/>
  <c r="L23" i="9" s="1"/>
  <c r="L40" i="9"/>
  <c r="L6" i="9"/>
  <c r="K41" i="9"/>
  <c r="B49" i="3" s="1"/>
  <c r="D85" i="8" s="1"/>
  <c r="L41" i="9"/>
  <c r="F18" i="9"/>
  <c r="G18" i="9" s="1"/>
  <c r="B18" i="9" s="1"/>
  <c r="O18" i="9"/>
  <c r="P18" i="9" s="1"/>
  <c r="Q18" i="9" s="1"/>
  <c r="D218" i="8" s="1"/>
  <c r="D299" i="8" s="1"/>
  <c r="F19" i="9"/>
  <c r="R19" i="9"/>
  <c r="D258" i="8" s="1"/>
  <c r="O19" i="9"/>
  <c r="P19" i="9" s="1"/>
  <c r="Q19" i="9" s="1"/>
  <c r="D219" i="8" s="1"/>
  <c r="D300" i="8" s="1"/>
  <c r="R27" i="9"/>
  <c r="D266" i="8" s="1"/>
  <c r="F27" i="9"/>
  <c r="O27" i="9"/>
  <c r="P27" i="9" s="1"/>
  <c r="Q27" i="9" s="1"/>
  <c r="D227" i="8" s="1"/>
  <c r="D308" i="8" s="1"/>
  <c r="F5" i="9"/>
  <c r="R5" i="9"/>
  <c r="D244" i="8" s="1"/>
  <c r="O5" i="9"/>
  <c r="P5" i="9" s="1"/>
  <c r="Q5" i="9" s="1"/>
  <c r="D205" i="8" s="1"/>
  <c r="D286" i="8" s="1"/>
  <c r="F4" i="9"/>
  <c r="O4" i="9"/>
  <c r="P4" i="9" s="1"/>
  <c r="Q4" i="9" s="1"/>
  <c r="D204" i="8" s="1"/>
  <c r="D285" i="8" s="1"/>
  <c r="R4" i="9"/>
  <c r="D243" i="8" s="1"/>
  <c r="R31" i="9"/>
  <c r="D270" i="8" s="1"/>
  <c r="F31" i="9"/>
  <c r="O31" i="9"/>
  <c r="P31" i="9" s="1"/>
  <c r="Q31" i="9" s="1"/>
  <c r="D231" i="8" s="1"/>
  <c r="D312" i="8" s="1"/>
  <c r="F9" i="9"/>
  <c r="R9" i="9"/>
  <c r="D248" i="8" s="1"/>
  <c r="O9" i="9"/>
  <c r="P9" i="9" s="1"/>
  <c r="Q9" i="9" s="1"/>
  <c r="D209" i="8" s="1"/>
  <c r="D290" i="8" s="1"/>
  <c r="F39" i="9"/>
  <c r="O39" i="9"/>
  <c r="P39" i="9" s="1"/>
  <c r="Q39" i="9" s="1"/>
  <c r="D239" i="8" s="1"/>
  <c r="D320" i="8" s="1"/>
  <c r="F17" i="9"/>
  <c r="O17" i="9"/>
  <c r="P17" i="9" s="1"/>
  <c r="Q17" i="9" s="1"/>
  <c r="D217" i="8" s="1"/>
  <c r="D298" i="8" s="1"/>
  <c r="R29" i="9"/>
  <c r="D268" i="8" s="1"/>
  <c r="F29" i="9"/>
  <c r="O29" i="9"/>
  <c r="P29" i="9" s="1"/>
  <c r="Q29" i="9" s="1"/>
  <c r="D229" i="8" s="1"/>
  <c r="D310" i="8" s="1"/>
  <c r="F20" i="9"/>
  <c r="O20" i="9"/>
  <c r="P20" i="9" s="1"/>
  <c r="Q20" i="9" s="1"/>
  <c r="D220" i="8" s="1"/>
  <c r="D301" i="8" s="1"/>
  <c r="F22" i="9"/>
  <c r="O22" i="9"/>
  <c r="P22" i="9" s="1"/>
  <c r="Q22" i="9" s="1"/>
  <c r="D222" i="8" s="1"/>
  <c r="D303" i="8" s="1"/>
  <c r="R33" i="9"/>
  <c r="D272" i="8" s="1"/>
  <c r="F33" i="9"/>
  <c r="O33" i="9"/>
  <c r="P33" i="9" s="1"/>
  <c r="Q33" i="9" s="1"/>
  <c r="D233" i="8" s="1"/>
  <c r="D314" i="8" s="1"/>
  <c r="F21" i="9"/>
  <c r="O21" i="9"/>
  <c r="P21" i="9" s="1"/>
  <c r="Q21" i="9" s="1"/>
  <c r="D221" i="8" s="1"/>
  <c r="D302" i="8" s="1"/>
  <c r="F32" i="9"/>
  <c r="O32" i="9"/>
  <c r="P32" i="9" s="1"/>
  <c r="Q32" i="9" s="1"/>
  <c r="D232" i="8" s="1"/>
  <c r="D313" i="8" s="1"/>
  <c r="F30" i="9"/>
  <c r="R30" i="9"/>
  <c r="D269" i="8" s="1"/>
  <c r="O30" i="9"/>
  <c r="P30" i="9" s="1"/>
  <c r="Q30" i="9" s="1"/>
  <c r="D230" i="8" s="1"/>
  <c r="D311" i="8" s="1"/>
  <c r="F11" i="9"/>
  <c r="O11" i="9"/>
  <c r="P11" i="9" s="1"/>
  <c r="Q11" i="9" s="1"/>
  <c r="D211" i="8" s="1"/>
  <c r="D292" i="8" s="1"/>
  <c r="F26" i="9"/>
  <c r="O26" i="9"/>
  <c r="P26" i="9" s="1"/>
  <c r="Q26" i="9" s="1"/>
  <c r="D226" i="8" s="1"/>
  <c r="D307" i="8" s="1"/>
  <c r="R3" i="9"/>
  <c r="R13" i="9"/>
  <c r="D252" i="8" s="1"/>
  <c r="F13" i="9"/>
  <c r="O13" i="9"/>
  <c r="P13" i="9" s="1"/>
  <c r="Q13" i="9" s="1"/>
  <c r="D213" i="8" s="1"/>
  <c r="D294" i="8" s="1"/>
  <c r="F12" i="9"/>
  <c r="R12" i="9"/>
  <c r="D251" i="8" s="1"/>
  <c r="O12" i="9"/>
  <c r="P12" i="9" s="1"/>
  <c r="Q12" i="9" s="1"/>
  <c r="D212" i="8" s="1"/>
  <c r="D293" i="8" s="1"/>
  <c r="R6" i="9"/>
  <c r="D245" i="8" s="1"/>
  <c r="F36" i="9"/>
  <c r="R36" i="9"/>
  <c r="D275" i="8" s="1"/>
  <c r="O36" i="9"/>
  <c r="P36" i="9" s="1"/>
  <c r="Q36" i="9" s="1"/>
  <c r="D236" i="8" s="1"/>
  <c r="D317" i="8" s="1"/>
  <c r="G28" i="9"/>
  <c r="B28" i="9" s="1"/>
  <c r="R37" i="9"/>
  <c r="D276" i="8" s="1"/>
  <c r="F37" i="9"/>
  <c r="O37" i="9"/>
  <c r="P37" i="9" s="1"/>
  <c r="Q37" i="9" s="1"/>
  <c r="D237" i="8" s="1"/>
  <c r="D318" i="8" s="1"/>
  <c r="F25" i="9"/>
  <c r="O25" i="9"/>
  <c r="P25" i="9" s="1"/>
  <c r="Q25" i="9" s="1"/>
  <c r="D225" i="8" s="1"/>
  <c r="D306" i="8" s="1"/>
  <c r="F24" i="9"/>
  <c r="O24" i="9"/>
  <c r="P24" i="9" s="1"/>
  <c r="Q24" i="9" s="1"/>
  <c r="D224" i="8" s="1"/>
  <c r="D305" i="8" s="1"/>
  <c r="R7" i="9"/>
  <c r="D246" i="8" s="1"/>
  <c r="F7" i="9"/>
  <c r="O7" i="9"/>
  <c r="P7" i="9" s="1"/>
  <c r="Q7" i="9" s="1"/>
  <c r="D207" i="8" s="1"/>
  <c r="D288" i="8" s="1"/>
  <c r="R38" i="9"/>
  <c r="D277" i="8" s="1"/>
  <c r="F38" i="9"/>
  <c r="O38" i="9"/>
  <c r="P38" i="9" s="1"/>
  <c r="Q38" i="9" s="1"/>
  <c r="D238" i="8" s="1"/>
  <c r="D319" i="8" s="1"/>
  <c r="F16" i="9"/>
  <c r="O16" i="9"/>
  <c r="P16" i="9" s="1"/>
  <c r="Q16" i="9" s="1"/>
  <c r="D216" i="8" s="1"/>
  <c r="D297" i="8" s="1"/>
  <c r="F35" i="9"/>
  <c r="R35" i="9"/>
  <c r="D274" i="8" s="1"/>
  <c r="O35" i="9"/>
  <c r="P35" i="9" s="1"/>
  <c r="Q35" i="9" s="1"/>
  <c r="D235" i="8" s="1"/>
  <c r="D316" i="8" s="1"/>
  <c r="F15" i="9"/>
  <c r="R15" i="9"/>
  <c r="D254" i="8" s="1"/>
  <c r="O15" i="9"/>
  <c r="P15" i="9" s="1"/>
  <c r="Q15" i="9" s="1"/>
  <c r="D215" i="8" s="1"/>
  <c r="D296" i="8" s="1"/>
  <c r="K8" i="9" l="1"/>
  <c r="B16" i="3" s="1"/>
  <c r="D52" i="8" s="1"/>
  <c r="L34" i="9"/>
  <c r="L10" i="9"/>
  <c r="C18" i="3" s="1"/>
  <c r="G24" i="9"/>
  <c r="B24" i="9" s="1"/>
  <c r="L3" i="9"/>
  <c r="M3" i="9" s="1"/>
  <c r="N3" i="9" s="1"/>
  <c r="G13" i="9"/>
  <c r="B13" i="9" s="1"/>
  <c r="L14" i="9"/>
  <c r="C22" i="3" s="1"/>
  <c r="G39" i="9"/>
  <c r="B39" i="9" s="1"/>
  <c r="K39" i="9" s="1"/>
  <c r="B47" i="3" s="1"/>
  <c r="D83" i="8" s="1"/>
  <c r="G16" i="9"/>
  <c r="B16" i="9" s="1"/>
  <c r="K16" i="9" s="1"/>
  <c r="B24" i="3" s="1"/>
  <c r="D60" i="8" s="1"/>
  <c r="K23" i="9"/>
  <c r="B31" i="3" s="1"/>
  <c r="D67" i="8" s="1"/>
  <c r="G12" i="9"/>
  <c r="B12" i="9" s="1"/>
  <c r="L12" i="9" s="1"/>
  <c r="G36" i="9"/>
  <c r="B36" i="9" s="1"/>
  <c r="G21" i="9"/>
  <c r="B21" i="9" s="1"/>
  <c r="L21" i="9" s="1"/>
  <c r="G22" i="9"/>
  <c r="B22" i="9" s="1"/>
  <c r="L22" i="9" s="1"/>
  <c r="G11" i="9"/>
  <c r="B11" i="9" s="1"/>
  <c r="K11" i="9" s="1"/>
  <c r="B19" i="3" s="1"/>
  <c r="D55" i="8" s="1"/>
  <c r="G32" i="9"/>
  <c r="B32" i="9" s="1"/>
  <c r="K32" i="9" s="1"/>
  <c r="B40" i="3" s="1"/>
  <c r="D76" i="8" s="1"/>
  <c r="G38" i="9"/>
  <c r="B38" i="9" s="1"/>
  <c r="L38" i="9" s="1"/>
  <c r="G37" i="9"/>
  <c r="B37" i="9" s="1"/>
  <c r="L37" i="9" s="1"/>
  <c r="G5" i="9"/>
  <c r="B5" i="9" s="1"/>
  <c r="L5" i="9" s="1"/>
  <c r="G7" i="9"/>
  <c r="B7" i="9" s="1"/>
  <c r="G25" i="9"/>
  <c r="B25" i="9" s="1"/>
  <c r="L25" i="9" s="1"/>
  <c r="G17" i="9"/>
  <c r="B17" i="9" s="1"/>
  <c r="L17" i="9" s="1"/>
  <c r="G19" i="9"/>
  <c r="B19" i="9" s="1"/>
  <c r="K19" i="9" s="1"/>
  <c r="B27" i="3" s="1"/>
  <c r="D63" i="8" s="1"/>
  <c r="G26" i="9"/>
  <c r="B26" i="9" s="1"/>
  <c r="K26" i="9" s="1"/>
  <c r="B34" i="3" s="1"/>
  <c r="D70" i="8" s="1"/>
  <c r="R11" i="9"/>
  <c r="D250" i="8" s="1"/>
  <c r="G33" i="9"/>
  <c r="B33" i="9" s="1"/>
  <c r="L33" i="9" s="1"/>
  <c r="G20" i="9"/>
  <c r="B20" i="9" s="1"/>
  <c r="L20" i="9" s="1"/>
  <c r="G27" i="9"/>
  <c r="B27" i="9" s="1"/>
  <c r="G29" i="9"/>
  <c r="B29" i="9" s="1"/>
  <c r="K29" i="9" s="1"/>
  <c r="B37" i="3" s="1"/>
  <c r="D73" i="8" s="1"/>
  <c r="G4" i="9"/>
  <c r="B4" i="9" s="1"/>
  <c r="K4" i="9" s="1"/>
  <c r="B12" i="3" s="1"/>
  <c r="D48" i="8" s="1"/>
  <c r="K18" i="9"/>
  <c r="B26" i="3" s="1"/>
  <c r="D62" i="8" s="1"/>
  <c r="L18" i="9"/>
  <c r="K27" i="9"/>
  <c r="B35" i="3" s="1"/>
  <c r="D71" i="8" s="1"/>
  <c r="L27" i="9"/>
  <c r="L24" i="9"/>
  <c r="K24" i="9"/>
  <c r="B32" i="3" s="1"/>
  <c r="D68" i="8" s="1"/>
  <c r="K7" i="9"/>
  <c r="B15" i="3" s="1"/>
  <c r="D51" i="8" s="1"/>
  <c r="L7" i="9"/>
  <c r="K25" i="9"/>
  <c r="B33" i="3" s="1"/>
  <c r="D69" i="8" s="1"/>
  <c r="G15" i="9"/>
  <c r="B15" i="9" s="1"/>
  <c r="G35" i="9"/>
  <c r="B35" i="9" s="1"/>
  <c r="L28" i="9"/>
  <c r="K28" i="9"/>
  <c r="B36" i="3" s="1"/>
  <c r="D72" i="8" s="1"/>
  <c r="G30" i="9"/>
  <c r="B30" i="9" s="1"/>
  <c r="R21" i="9"/>
  <c r="D260" i="8" s="1"/>
  <c r="R20" i="9"/>
  <c r="D259" i="8" s="1"/>
  <c r="R39" i="9"/>
  <c r="D278" i="8" s="1"/>
  <c r="G9" i="9"/>
  <c r="B9" i="9" s="1"/>
  <c r="G31" i="9"/>
  <c r="B31" i="9" s="1"/>
  <c r="C48" i="3"/>
  <c r="M40" i="9"/>
  <c r="N40" i="9" s="1"/>
  <c r="L36" i="9"/>
  <c r="K36" i="9"/>
  <c r="B44" i="3" s="1"/>
  <c r="D80" i="8" s="1"/>
  <c r="C16" i="3"/>
  <c r="M8" i="9"/>
  <c r="N8" i="9" s="1"/>
  <c r="K12" i="9"/>
  <c r="B20" i="3" s="1"/>
  <c r="D56" i="8" s="1"/>
  <c r="R25" i="9"/>
  <c r="D264" i="8" s="1"/>
  <c r="M34" i="9"/>
  <c r="N34" i="9" s="1"/>
  <c r="C42" i="3"/>
  <c r="C49" i="3"/>
  <c r="M41" i="9"/>
  <c r="N41" i="9" s="1"/>
  <c r="L13" i="9"/>
  <c r="K13" i="9"/>
  <c r="B21" i="3" s="1"/>
  <c r="D57" i="8" s="1"/>
  <c r="R16" i="9"/>
  <c r="D255" i="8" s="1"/>
  <c r="R24" i="9"/>
  <c r="D263" i="8" s="1"/>
  <c r="R26" i="9"/>
  <c r="D265" i="8" s="1"/>
  <c r="R32" i="9"/>
  <c r="D271" i="8" s="1"/>
  <c r="R22" i="9"/>
  <c r="D261" i="8" s="1"/>
  <c r="R17" i="9"/>
  <c r="D256" i="8" s="1"/>
  <c r="C31" i="3"/>
  <c r="M23" i="9"/>
  <c r="N23" i="9" s="1"/>
  <c r="R18" i="9"/>
  <c r="D257" i="8" s="1"/>
  <c r="M10" i="9"/>
  <c r="N10" i="9" s="1"/>
  <c r="C14" i="3"/>
  <c r="M6" i="9"/>
  <c r="N6" i="9" s="1"/>
  <c r="L39" i="9" l="1"/>
  <c r="C11" i="3"/>
  <c r="L4" i="9"/>
  <c r="L16" i="9"/>
  <c r="K5" i="9"/>
  <c r="B13" i="3" s="1"/>
  <c r="D49" i="8" s="1"/>
  <c r="K21" i="9"/>
  <c r="B29" i="3" s="1"/>
  <c r="D65" i="8" s="1"/>
  <c r="K22" i="9"/>
  <c r="B30" i="3" s="1"/>
  <c r="D66" i="8" s="1"/>
  <c r="L11" i="9"/>
  <c r="M11" i="9" s="1"/>
  <c r="N11" i="9" s="1"/>
  <c r="L19" i="9"/>
  <c r="C27" i="3" s="1"/>
  <c r="M14" i="9"/>
  <c r="N14" i="9" s="1"/>
  <c r="L29" i="9"/>
  <c r="C37" i="3" s="1"/>
  <c r="K37" i="9"/>
  <c r="B45" i="3" s="1"/>
  <c r="D81" i="8" s="1"/>
  <c r="K38" i="9"/>
  <c r="B46" i="3" s="1"/>
  <c r="D82" i="8" s="1"/>
  <c r="L26" i="9"/>
  <c r="M26" i="9" s="1"/>
  <c r="N26" i="9" s="1"/>
  <c r="K17" i="9"/>
  <c r="B25" i="3" s="1"/>
  <c r="D61" i="8" s="1"/>
  <c r="L32" i="9"/>
  <c r="M32" i="9" s="1"/>
  <c r="N32" i="9" s="1"/>
  <c r="K20" i="9"/>
  <c r="B28" i="3" s="1"/>
  <c r="D64" i="8" s="1"/>
  <c r="K33" i="9"/>
  <c r="B41" i="3" s="1"/>
  <c r="D77" i="8" s="1"/>
  <c r="D93" i="8"/>
  <c r="D18" i="3"/>
  <c r="C29" i="3"/>
  <c r="M21" i="9"/>
  <c r="N21" i="9" s="1"/>
  <c r="C15" i="3"/>
  <c r="M7" i="9"/>
  <c r="N7" i="9" s="1"/>
  <c r="C26" i="3"/>
  <c r="M18" i="9"/>
  <c r="N18" i="9" s="1"/>
  <c r="D48" i="3"/>
  <c r="D123" i="8"/>
  <c r="L30" i="9"/>
  <c r="K30" i="9"/>
  <c r="B38" i="3" s="1"/>
  <c r="D74" i="8" s="1"/>
  <c r="M27" i="9"/>
  <c r="N27" i="9" s="1"/>
  <c r="C35" i="3"/>
  <c r="K15" i="9"/>
  <c r="B23" i="3" s="1"/>
  <c r="D59" i="8" s="1"/>
  <c r="L15" i="9"/>
  <c r="C21" i="3"/>
  <c r="M13" i="9"/>
  <c r="N13" i="9" s="1"/>
  <c r="D117" i="8"/>
  <c r="D42" i="3"/>
  <c r="C20" i="3"/>
  <c r="M12" i="9"/>
  <c r="N12" i="9" s="1"/>
  <c r="K31" i="9"/>
  <c r="B39" i="3" s="1"/>
  <c r="D75" i="8" s="1"/>
  <c r="L31" i="9"/>
  <c r="M37" i="9"/>
  <c r="N37" i="9" s="1"/>
  <c r="C45" i="3"/>
  <c r="C41" i="3"/>
  <c r="M33" i="9"/>
  <c r="N33" i="9" s="1"/>
  <c r="D22" i="3"/>
  <c r="D97" i="8"/>
  <c r="L9" i="9"/>
  <c r="K9" i="9"/>
  <c r="B17" i="3" s="1"/>
  <c r="D53" i="8" s="1"/>
  <c r="C36" i="3"/>
  <c r="M28" i="9"/>
  <c r="N28" i="9" s="1"/>
  <c r="C47" i="3"/>
  <c r="M39" i="9"/>
  <c r="N39" i="9" s="1"/>
  <c r="D16" i="3"/>
  <c r="D91" i="8"/>
  <c r="C13" i="3"/>
  <c r="M5" i="9"/>
  <c r="N5" i="9" s="1"/>
  <c r="M25" i="9"/>
  <c r="N25" i="9" s="1"/>
  <c r="C33" i="3"/>
  <c r="C32" i="3"/>
  <c r="M24" i="9"/>
  <c r="N24" i="9" s="1"/>
  <c r="M17" i="9"/>
  <c r="N17" i="9" s="1"/>
  <c r="C25" i="3"/>
  <c r="C24" i="3"/>
  <c r="M16" i="9"/>
  <c r="N16" i="9" s="1"/>
  <c r="C19" i="3"/>
  <c r="D49" i="3"/>
  <c r="D124" i="8"/>
  <c r="D106" i="8"/>
  <c r="D31" i="3"/>
  <c r="D89" i="8"/>
  <c r="D14" i="3"/>
  <c r="C44" i="3"/>
  <c r="M36" i="9"/>
  <c r="N36" i="9" s="1"/>
  <c r="K35" i="9"/>
  <c r="B43" i="3" s="1"/>
  <c r="D79" i="8" s="1"/>
  <c r="L35" i="9"/>
  <c r="M22" i="9"/>
  <c r="N22" i="9" s="1"/>
  <c r="C30" i="3"/>
  <c r="C12" i="3"/>
  <c r="M4" i="9"/>
  <c r="N4" i="9" s="1"/>
  <c r="C46" i="3"/>
  <c r="M38" i="9"/>
  <c r="N38" i="9" s="1"/>
  <c r="C28" i="3"/>
  <c r="M20" i="9"/>
  <c r="N20" i="9" s="1"/>
  <c r="D86" i="8"/>
  <c r="D11" i="3"/>
  <c r="C40" i="3" l="1"/>
  <c r="M19" i="9"/>
  <c r="N19" i="9" s="1"/>
  <c r="M29" i="9"/>
  <c r="N29" i="9" s="1"/>
  <c r="C34" i="3"/>
  <c r="D34" i="3" s="1"/>
  <c r="C17" i="3"/>
  <c r="M9" i="9"/>
  <c r="N9" i="9" s="1"/>
  <c r="C43" i="3"/>
  <c r="M35" i="9"/>
  <c r="N35" i="9" s="1"/>
  <c r="D100" i="8"/>
  <c r="D25" i="3"/>
  <c r="D116" i="8"/>
  <c r="D41" i="3"/>
  <c r="D120" i="8"/>
  <c r="D45" i="3"/>
  <c r="D156" i="8"/>
  <c r="E42" i="3"/>
  <c r="D195" i="8" s="1"/>
  <c r="C23" i="3"/>
  <c r="M15" i="9"/>
  <c r="N15" i="9" s="1"/>
  <c r="D27" i="3"/>
  <c r="D102" i="8"/>
  <c r="D163" i="8"/>
  <c r="E49" i="3"/>
  <c r="D202" i="8" s="1"/>
  <c r="D122" i="8"/>
  <c r="D47" i="3"/>
  <c r="C38" i="3"/>
  <c r="M30" i="9"/>
  <c r="N30" i="9" s="1"/>
  <c r="D12" i="3"/>
  <c r="D87" i="8"/>
  <c r="D105" i="8"/>
  <c r="D30" i="3"/>
  <c r="D128" i="8"/>
  <c r="E14" i="3"/>
  <c r="D167" i="8" s="1"/>
  <c r="D94" i="8"/>
  <c r="D19" i="3"/>
  <c r="D33" i="3"/>
  <c r="D108" i="8"/>
  <c r="M31" i="9"/>
  <c r="N31" i="9" s="1"/>
  <c r="C39" i="3"/>
  <c r="D110" i="8"/>
  <c r="D35" i="3"/>
  <c r="D101" i="8"/>
  <c r="D26" i="3"/>
  <c r="D112" i="8"/>
  <c r="D37" i="3"/>
  <c r="D96" i="8"/>
  <c r="D21" i="3"/>
  <c r="D90" i="8"/>
  <c r="D15" i="3"/>
  <c r="D20" i="3"/>
  <c r="D95" i="8"/>
  <c r="D44" i="3"/>
  <c r="D119" i="8"/>
  <c r="D132" i="8"/>
  <c r="E18" i="3"/>
  <c r="D171" i="8" s="1"/>
  <c r="D28" i="3"/>
  <c r="D103" i="8"/>
  <c r="D32" i="3"/>
  <c r="D107" i="8"/>
  <c r="D130" i="8"/>
  <c r="E16" i="3"/>
  <c r="D169" i="8" s="1"/>
  <c r="D40" i="3"/>
  <c r="D115" i="8"/>
  <c r="D145" i="8"/>
  <c r="E31" i="3"/>
  <c r="D184" i="8" s="1"/>
  <c r="D46" i="3"/>
  <c r="D121" i="8"/>
  <c r="D24" i="3"/>
  <c r="D99" i="8"/>
  <c r="D88" i="8"/>
  <c r="D13" i="3"/>
  <c r="D111" i="8"/>
  <c r="D36" i="3"/>
  <c r="D136" i="8"/>
  <c r="E22" i="3"/>
  <c r="D175" i="8" s="1"/>
  <c r="D162" i="8"/>
  <c r="E48" i="3"/>
  <c r="D201" i="8" s="1"/>
  <c r="D104" i="8"/>
  <c r="D29" i="3"/>
  <c r="D125" i="8"/>
  <c r="E11" i="3"/>
  <c r="D164" i="8" s="1"/>
  <c r="D109" i="8" l="1"/>
  <c r="D161" i="8"/>
  <c r="E47" i="3"/>
  <c r="D200" i="8" s="1"/>
  <c r="D160" i="8"/>
  <c r="E46" i="3"/>
  <c r="D199" i="8" s="1"/>
  <c r="D126" i="8"/>
  <c r="E12" i="3"/>
  <c r="D165" i="8" s="1"/>
  <c r="D43" i="3"/>
  <c r="D118" i="8"/>
  <c r="D143" i="8"/>
  <c r="E29" i="3"/>
  <c r="D182" i="8" s="1"/>
  <c r="D140" i="8"/>
  <c r="E26" i="3"/>
  <c r="D179" i="8" s="1"/>
  <c r="D144" i="8"/>
  <c r="E30" i="3"/>
  <c r="D183" i="8" s="1"/>
  <c r="D148" i="8"/>
  <c r="E34" i="3"/>
  <c r="D187" i="8" s="1"/>
  <c r="D127" i="8"/>
  <c r="E13" i="3"/>
  <c r="D166" i="8" s="1"/>
  <c r="D158" i="8"/>
  <c r="E44" i="3"/>
  <c r="D197" i="8" s="1"/>
  <c r="D146" i="8"/>
  <c r="E32" i="3"/>
  <c r="D185" i="8" s="1"/>
  <c r="D129" i="8"/>
  <c r="E15" i="3"/>
  <c r="D168" i="8" s="1"/>
  <c r="D149" i="8"/>
  <c r="E35" i="3"/>
  <c r="D188" i="8" s="1"/>
  <c r="D155" i="8"/>
  <c r="E41" i="3"/>
  <c r="D194" i="8" s="1"/>
  <c r="D139" i="8"/>
  <c r="E25" i="3"/>
  <c r="D178" i="8" s="1"/>
  <c r="D135" i="8"/>
  <c r="E21" i="3"/>
  <c r="D174" i="8" s="1"/>
  <c r="E28" i="3"/>
  <c r="D181" i="8" s="1"/>
  <c r="D142" i="8"/>
  <c r="D134" i="8"/>
  <c r="E20" i="3"/>
  <c r="D173" i="8" s="1"/>
  <c r="D147" i="8"/>
  <c r="E33" i="3"/>
  <c r="D186" i="8" s="1"/>
  <c r="D113" i="8"/>
  <c r="D38" i="3"/>
  <c r="D141" i="8"/>
  <c r="E27" i="3"/>
  <c r="D180" i="8" s="1"/>
  <c r="D92" i="8"/>
  <c r="D17" i="3"/>
  <c r="E36" i="3"/>
  <c r="D189" i="8" s="1"/>
  <c r="D150" i="8"/>
  <c r="D151" i="8"/>
  <c r="E37" i="3"/>
  <c r="D190" i="8" s="1"/>
  <c r="D114" i="8"/>
  <c r="D39" i="3"/>
  <c r="D133" i="8"/>
  <c r="E19" i="3"/>
  <c r="D172" i="8" s="1"/>
  <c r="D159" i="8"/>
  <c r="E45" i="3"/>
  <c r="D198" i="8" s="1"/>
  <c r="D138" i="8"/>
  <c r="E24" i="3"/>
  <c r="D177" i="8" s="1"/>
  <c r="D154" i="8"/>
  <c r="E40" i="3"/>
  <c r="D193" i="8" s="1"/>
  <c r="D98" i="8"/>
  <c r="D23" i="3"/>
  <c r="E39" i="3" l="1"/>
  <c r="D192" i="8" s="1"/>
  <c r="D153" i="8"/>
  <c r="E23" i="3"/>
  <c r="D176" i="8" s="1"/>
  <c r="D137" i="8"/>
  <c r="D152" i="8"/>
  <c r="E38" i="3"/>
  <c r="D191" i="8" s="1"/>
  <c r="D131" i="8"/>
  <c r="E17" i="3"/>
  <c r="D170" i="8" s="1"/>
  <c r="D157" i="8"/>
  <c r="E43" i="3"/>
  <c r="D196" i="8" s="1"/>
</calcChain>
</file>

<file path=xl/comments1.xml><?xml version="1.0" encoding="utf-8"?>
<comments xmlns="http://schemas.openxmlformats.org/spreadsheetml/2006/main">
  <authors>
    <author>Afzal-Khan, Mohammed (C1290)</author>
  </authors>
  <commentList>
    <comment ref="D3" authorId="0" shapeId="0">
      <text>
        <r>
          <rPr>
            <b/>
            <sz val="9"/>
            <color indexed="81"/>
            <rFont val="Tahoma"/>
            <family val="2"/>
          </rPr>
          <t>Afzal-Khan, Mohammed (C1290):</t>
        </r>
        <r>
          <rPr>
            <sz val="9"/>
            <color indexed="81"/>
            <rFont val="Tahoma"/>
            <family val="2"/>
          </rPr>
          <t xml:space="preserve">
Adjusted to produce correct Hrly rate</t>
        </r>
      </text>
    </comment>
    <comment ref="D40" authorId="0" shapeId="0">
      <text>
        <r>
          <rPr>
            <b/>
            <sz val="9"/>
            <color indexed="81"/>
            <rFont val="Tahoma"/>
            <family val="2"/>
          </rPr>
          <t>Afzal-Khan, Mohammed (C1290):</t>
        </r>
        <r>
          <rPr>
            <sz val="9"/>
            <color indexed="81"/>
            <rFont val="Tahoma"/>
            <family val="2"/>
          </rPr>
          <t xml:space="preserve">
Adjusted to produce correct Hrly rate</t>
        </r>
      </text>
    </comment>
  </commentList>
</comments>
</file>

<file path=xl/sharedStrings.xml><?xml version="1.0" encoding="utf-8"?>
<sst xmlns="http://schemas.openxmlformats.org/spreadsheetml/2006/main" count="1314" uniqueCount="435">
  <si>
    <t>DATES</t>
  </si>
  <si>
    <t>NPOCC REF</t>
  </si>
  <si>
    <t>No Officers</t>
  </si>
  <si>
    <t>Resource Description</t>
  </si>
  <si>
    <t>No of Days</t>
  </si>
  <si>
    <t>Force</t>
  </si>
  <si>
    <t>Crest</t>
  </si>
  <si>
    <t>Please Choose From List</t>
  </si>
  <si>
    <t>AVON &amp; SOMERSET CONSTABULARY</t>
  </si>
  <si>
    <t>A&amp;S</t>
  </si>
  <si>
    <t>CHESHIRE CONSTABULARY</t>
  </si>
  <si>
    <t>BEDFORDSHIRE POLICE</t>
  </si>
  <si>
    <t>BEDS</t>
  </si>
  <si>
    <t>BRITISH TRANSPORT POLICE</t>
  </si>
  <si>
    <t>BTP</t>
  </si>
  <si>
    <t>CAMBRIDGESHIRE CONSTABULARY</t>
  </si>
  <si>
    <t>CAMBS</t>
  </si>
  <si>
    <t>CHES</t>
  </si>
  <si>
    <t>CITY OF LONDON POLICE</t>
  </si>
  <si>
    <t>CUMB</t>
  </si>
  <si>
    <t>CLEVELAND POLICE</t>
  </si>
  <si>
    <t>CLEVE</t>
  </si>
  <si>
    <t>CUMBRIA CONSTABULARY</t>
  </si>
  <si>
    <t>DERBYSHIRE CONSTABULARY</t>
  </si>
  <si>
    <t>DERB</t>
  </si>
  <si>
    <t>DEVON &amp; CORNWALL POLICE</t>
  </si>
  <si>
    <t>D&amp;C</t>
  </si>
  <si>
    <t>DORSET POLICE</t>
  </si>
  <si>
    <t>DORS</t>
  </si>
  <si>
    <t>DURHAM CONSTABULARY</t>
  </si>
  <si>
    <t>DURM</t>
  </si>
  <si>
    <t>DYFED-POWYS POLICE</t>
  </si>
  <si>
    <t>DYPOW</t>
  </si>
  <si>
    <t>ESSEX POLICE</t>
  </si>
  <si>
    <t>ESSEX</t>
  </si>
  <si>
    <t>GLOUCESTERSHIRE CONSTABULARY</t>
  </si>
  <si>
    <t>GLOUCS</t>
  </si>
  <si>
    <t>GREATER MANCHESTER POLICE</t>
  </si>
  <si>
    <t>GMP</t>
  </si>
  <si>
    <t>GWENT POLICE</t>
  </si>
  <si>
    <t>GWEN</t>
  </si>
  <si>
    <t>HANTS</t>
  </si>
  <si>
    <t>HERTFORDSHIRE CONSTABULARY</t>
  </si>
  <si>
    <t>HERTS</t>
  </si>
  <si>
    <t>HUMBERSIDE POLICE</t>
  </si>
  <si>
    <t>HUMBS</t>
  </si>
  <si>
    <t>KENT POLICE</t>
  </si>
  <si>
    <t>KENT</t>
  </si>
  <si>
    <t>LANCASHIRE CONSTABULARY</t>
  </si>
  <si>
    <t>LANCS</t>
  </si>
  <si>
    <t>LEICESTERSHIRE POLICE</t>
  </si>
  <si>
    <t>LEICS</t>
  </si>
  <si>
    <t>LINCOLNSHIRE POLICE</t>
  </si>
  <si>
    <t>LINCS</t>
  </si>
  <si>
    <t>MERSEYSIDE POLICE</t>
  </si>
  <si>
    <t>MERSEY</t>
  </si>
  <si>
    <t>METROPOLITAN POLICE</t>
  </si>
  <si>
    <t>MPS</t>
  </si>
  <si>
    <t>NORFOLK CONSTABULARY</t>
  </si>
  <si>
    <t>NORF</t>
  </si>
  <si>
    <t>NORTH WALES POLICE</t>
  </si>
  <si>
    <t>NWP</t>
  </si>
  <si>
    <t>NORTH YORKSHIRE POLICE</t>
  </si>
  <si>
    <t>NYP</t>
  </si>
  <si>
    <t>NORTHAMPTONSHIRE POLICE</t>
  </si>
  <si>
    <t>NORTH</t>
  </si>
  <si>
    <t>PSNI</t>
  </si>
  <si>
    <t>NORTHUMBRIA POLICE</t>
  </si>
  <si>
    <t>NORUM</t>
  </si>
  <si>
    <t>NOTTINGHAMSHIRE POLICE</t>
  </si>
  <si>
    <t>NOTTS</t>
  </si>
  <si>
    <t>SOUTH WALES POLICE</t>
  </si>
  <si>
    <t>SWP</t>
  </si>
  <si>
    <t>SOUTH YORKSHIRE POLICE</t>
  </si>
  <si>
    <t>SYP</t>
  </si>
  <si>
    <t>STAFFORDSHIRE POLICE</t>
  </si>
  <si>
    <t>STAFFS</t>
  </si>
  <si>
    <t>SUFFOLK CONSTABULARY</t>
  </si>
  <si>
    <t>SUFF</t>
  </si>
  <si>
    <t>SURREY POLICE</t>
  </si>
  <si>
    <t>SURR</t>
  </si>
  <si>
    <t>SUSSEX POLICE</t>
  </si>
  <si>
    <t>SUSS</t>
  </si>
  <si>
    <t>THAMES VALLEY POLICE</t>
  </si>
  <si>
    <t>TVP</t>
  </si>
  <si>
    <t>WARWICKSHIRE POLICE</t>
  </si>
  <si>
    <t>WARW</t>
  </si>
  <si>
    <t>WEST MERCIA POLICE</t>
  </si>
  <si>
    <t xml:space="preserve">WEST </t>
  </si>
  <si>
    <t>WEST MIDLANDS POLICE</t>
  </si>
  <si>
    <t>WMP</t>
  </si>
  <si>
    <t>WEST YORKSHIRE POLICE</t>
  </si>
  <si>
    <t>WYP</t>
  </si>
  <si>
    <t>WILTSHIRE POLICE</t>
  </si>
  <si>
    <t>WILTS</t>
  </si>
  <si>
    <t>NPCC</t>
  </si>
  <si>
    <t>From:</t>
  </si>
  <si>
    <t>To:</t>
  </si>
  <si>
    <t>(Include any travel days as extra days either side of deployment dates)</t>
  </si>
  <si>
    <t>Name:</t>
  </si>
  <si>
    <t>Email address:</t>
  </si>
  <si>
    <t>UKBA</t>
  </si>
  <si>
    <t>NCA</t>
  </si>
  <si>
    <t>HMRC</t>
  </si>
  <si>
    <t>FCO</t>
  </si>
  <si>
    <t>Rank</t>
  </si>
  <si>
    <t xml:space="preserve"> </t>
  </si>
  <si>
    <t>Constable</t>
  </si>
  <si>
    <t>Sergeant</t>
  </si>
  <si>
    <t>Inspector</t>
  </si>
  <si>
    <t>Chief Inspector</t>
  </si>
  <si>
    <t>Superintendent</t>
  </si>
  <si>
    <t>Mounted Section Groom</t>
  </si>
  <si>
    <t>Equipment</t>
  </si>
  <si>
    <t>Section</t>
  </si>
  <si>
    <t>Equipment: Please choose from List</t>
  </si>
  <si>
    <t>Police Horse</t>
  </si>
  <si>
    <t>Mounted Section</t>
  </si>
  <si>
    <t>Police Dog</t>
  </si>
  <si>
    <t>Dog Unit</t>
  </si>
  <si>
    <t>Specialised equipment</t>
  </si>
  <si>
    <t>Various</t>
  </si>
  <si>
    <t>Specialised underwater search equipment</t>
  </si>
  <si>
    <t>Marine Unit</t>
  </si>
  <si>
    <t>Consumables</t>
  </si>
  <si>
    <t>Consumables: Please choose from List</t>
  </si>
  <si>
    <t>Refreshments/Meal Costs</t>
  </si>
  <si>
    <t>Accommodation if not provided</t>
  </si>
  <si>
    <t>Other Consumable cost</t>
  </si>
  <si>
    <t>Please Give Details</t>
  </si>
  <si>
    <t>Grade</t>
  </si>
  <si>
    <t>Charging Basis</t>
  </si>
  <si>
    <t>Choose Mutual Aid Grade</t>
  </si>
  <si>
    <t xml:space="preserve">Mutual aid in excess of six calendar months. </t>
  </si>
  <si>
    <t>De-minimus threshold does not apply.   Cost other units deployed</t>
  </si>
  <si>
    <t>Select total PSU hours</t>
  </si>
  <si>
    <t>Phone No:</t>
  </si>
  <si>
    <t>REQUESTING force contact details</t>
  </si>
  <si>
    <t>SUPPLYING force contact details</t>
  </si>
  <si>
    <t>Name/Location of Operation:</t>
  </si>
  <si>
    <t>BANK HOLIDAY</t>
  </si>
  <si>
    <t>GRADE 0</t>
  </si>
  <si>
    <t>GRADE 1</t>
  </si>
  <si>
    <t>GRADE 2</t>
  </si>
  <si>
    <t>Charge basic salary hours worked x 2.0 for PC, Sgt &amp; Police Staff and x 1.25 for Insp and above</t>
  </si>
  <si>
    <t>Charge basic salary hours worked x 1.5 for PC, Sgt &amp; Police Staff and x 1.25 for Insp and above</t>
  </si>
  <si>
    <t>Charge basic salary hours worked x 1.33 for PC &amp; Sgt, x 1.5 for Police Staff and x 1.25 for Insp and above</t>
  </si>
  <si>
    <t>Description</t>
  </si>
  <si>
    <t>REACTIVE SPONTANEOUS DEPLOYMENT</t>
  </si>
  <si>
    <t>PLANNED EVENT</t>
  </si>
  <si>
    <t>SPECIALIST STAFF DEPLOYMENT</t>
  </si>
  <si>
    <t>Notice Period</t>
  </si>
  <si>
    <t>0-15 days Notice</t>
  </si>
  <si>
    <t>15 days and over Notice given</t>
  </si>
  <si>
    <t>Force REQUESTING Mutual aid:</t>
  </si>
  <si>
    <t>Force SUPPLYING Mutual aid:</t>
  </si>
  <si>
    <t>For example, an unforeseen demand such as an initial outbreak of disorder or investigation, where another force is called upon to assist. A definition of time for such spontaneous support is from 0 to 15 days duration;</t>
  </si>
  <si>
    <t>Examples</t>
  </si>
  <si>
    <t>N/A</t>
  </si>
  <si>
    <t>PROLONGED MUTUAL AID</t>
  </si>
  <si>
    <t>SECONDMENT</t>
  </si>
  <si>
    <t>Cost plus national fixed administration fee</t>
  </si>
  <si>
    <t>ATTACHMENT</t>
  </si>
  <si>
    <t>Examples are family liaison officers, hostage negotiators and High Tech Crime Investigators. The individuals concerned may provide this type of mutual aid without necessarily leaving their own force area.</t>
  </si>
  <si>
    <t>POLICE SCOTLAND</t>
  </si>
  <si>
    <t>POLICE SERVICE NORTHERN IRELAND</t>
  </si>
  <si>
    <t>CIVIL NUCLEAR CONSTABULARY</t>
  </si>
  <si>
    <t>MINISTRY OF DEFENCE POLICE</t>
  </si>
  <si>
    <t>MUTUAL AID COST GRADE</t>
  </si>
  <si>
    <t>Where the deployment is for 16 days or more but less than 90 days it will be defined as prolonged mutual aid</t>
  </si>
  <si>
    <t>Charging Basis:</t>
  </si>
  <si>
    <t>Examples:</t>
  </si>
  <si>
    <t>DO NOT USE THIS FORM.  USE SECONDMENT CHARGING FORMULA</t>
  </si>
  <si>
    <t>MUTUAL AID OF 15 DAYS TO 90 DAYS DURATION</t>
  </si>
  <si>
    <t xml:space="preserve">For Example, a pre planned football fixture that falls on a BH.  </t>
  </si>
  <si>
    <t xml:space="preserve">Employable Cost (Inc. Basic Pay, allowances, employers NI &amp; Overtime) but (Excl Pension). </t>
  </si>
  <si>
    <t>Notice Period:</t>
  </si>
  <si>
    <t>Select Cost Grade from drop down list</t>
  </si>
  <si>
    <t>Definition:</t>
  </si>
  <si>
    <t>PO No:</t>
  </si>
  <si>
    <t>PSU DE-MINIMUS RULE</t>
  </si>
  <si>
    <t>Are PSUs being Supplied?</t>
  </si>
  <si>
    <t>All PSU Costs (inc.1st 64 hours) costs can be recharged</t>
  </si>
  <si>
    <t>Are the total PSU hours deployed greater than 64 hours?</t>
  </si>
  <si>
    <t>Mounted Officer</t>
  </si>
  <si>
    <t>C/Superintendent</t>
  </si>
  <si>
    <t>PSU costs CAN NOT not be recharged *</t>
  </si>
  <si>
    <t>* Note: Confirm with receiving Force that 65 hours have not been reached in AGGREGATE, by other forces also supplying PSUs.</t>
  </si>
  <si>
    <t>Police Marine Officer</t>
  </si>
  <si>
    <t>Rank/Grade</t>
  </si>
  <si>
    <t>Date(s):</t>
  </si>
  <si>
    <t>Please Choose</t>
  </si>
  <si>
    <t>GRADED Rate</t>
  </si>
  <si>
    <t>MA Cost Recovery</t>
  </si>
  <si>
    <t>MUTUAL AID GREATER THAN 6 MO</t>
  </si>
  <si>
    <t>INDIVIDUAL MUTUAL AID &gt; 90 days</t>
  </si>
  <si>
    <t>Daily Fixed Rate</t>
  </si>
  <si>
    <t>Mileage Fixed Rate</t>
  </si>
  <si>
    <t>MA Vehicle Recovery</t>
  </si>
  <si>
    <t xml:space="preserve">Total Miles </t>
  </si>
  <si>
    <t>No of Vehicles</t>
  </si>
  <si>
    <t>Unmarked Car</t>
  </si>
  <si>
    <t>VEHICLE TOTAL</t>
  </si>
  <si>
    <t>No of Nights</t>
  </si>
  <si>
    <t>No of Officers</t>
  </si>
  <si>
    <t>ALLOWANCE TOTAL</t>
  </si>
  <si>
    <t>Uniform</t>
  </si>
  <si>
    <t>Medical Supplies</t>
  </si>
  <si>
    <t>Type of Vehicle</t>
  </si>
  <si>
    <t>Daily Rate £</t>
  </si>
  <si>
    <t>Miles per Litre</t>
  </si>
  <si>
    <t>Price per mile</t>
  </si>
  <si>
    <t xml:space="preserve">Public Order Carrier </t>
  </si>
  <si>
    <t xml:space="preserve">General Purpose Van </t>
  </si>
  <si>
    <t xml:space="preserve">Marked Car </t>
  </si>
  <si>
    <t>Motorcycle</t>
  </si>
  <si>
    <t xml:space="preserve">Firearms ARV </t>
  </si>
  <si>
    <t xml:space="preserve">Armoured Vehicle </t>
  </si>
  <si>
    <t xml:space="preserve">Other Specialist Vehicles </t>
  </si>
  <si>
    <t>Input Petrol: Price per Litre</t>
  </si>
  <si>
    <t>Input Diesel: Price per Litre</t>
  </si>
  <si>
    <t>Mileage Cost</t>
  </si>
  <si>
    <t>Vehicle Cost</t>
  </si>
  <si>
    <t>Notes:</t>
  </si>
  <si>
    <t xml:space="preserve">Allowances </t>
  </si>
  <si>
    <t>Inspectors Bonus</t>
  </si>
  <si>
    <t>Other agreed Bonus</t>
  </si>
  <si>
    <t>Rates</t>
  </si>
  <si>
    <t>Overnight allowance</t>
  </si>
  <si>
    <t>Hardship allowance</t>
  </si>
  <si>
    <t>Other Agreed Rate</t>
  </si>
  <si>
    <t>MA Allowances recovery</t>
  </si>
  <si>
    <t>Allowance Type</t>
  </si>
  <si>
    <t>Vehicle Type</t>
  </si>
  <si>
    <t>Please choose:</t>
  </si>
  <si>
    <t>Cash advance</t>
  </si>
  <si>
    <t>Accommodation</t>
  </si>
  <si>
    <t>Actual Costs</t>
  </si>
  <si>
    <t>MA Consumables recovery</t>
  </si>
  <si>
    <t xml:space="preserve">Please choose </t>
  </si>
  <si>
    <t>No of Units</t>
  </si>
  <si>
    <t>No of days</t>
  </si>
  <si>
    <t>Daily rate</t>
  </si>
  <si>
    <t>All non-consumable equipment acquired and fully charged for under a mutual aid agreement will become the property of the host force unless otherwise agreed.</t>
  </si>
  <si>
    <t xml:space="preserve"> EQUIPMENT TOTAL</t>
  </si>
  <si>
    <t>TOTAL MUTUAL AID CLAIM</t>
  </si>
  <si>
    <t>CONSUMABLES TOTAL</t>
  </si>
  <si>
    <t>MUTUAL AID THAT IS CANCELLED WITHIN 16 DAYS OF INITIAL DEPLOYMENT WILL INCUR A COST, REFLECTING THE OFFICER HOURS AND RESOURCES THAT WERE UNCANCELLABLE WITHOUT COST TO THE DONOR FORCE. DONOR FORCES WILL ENDEAVOUR TO REDEPLOY RESOURCES TO REDUCE THE COST TO THE HOST FORCE, THUS REDUCING ANY INCURRED CHARGES (WHICH STILL INCUR 5% ADMINISTRATION UPLIFT.)</t>
  </si>
  <si>
    <t>Drop down list available</t>
  </si>
  <si>
    <t>Key Code:</t>
  </si>
  <si>
    <t>Calculations automatically completed</t>
  </si>
  <si>
    <t>Free text fields for notes/references</t>
  </si>
  <si>
    <t>OPERATION DETAILS</t>
  </si>
  <si>
    <t>Grade 0</t>
  </si>
  <si>
    <t>Grade 1</t>
  </si>
  <si>
    <t>Grade 2</t>
  </si>
  <si>
    <r>
      <t xml:space="preserve">Employable Cost (Inc. Basic Pay, allowances, employers NI) but (Excl Pension).      </t>
    </r>
    <r>
      <rPr>
        <b/>
        <i/>
        <sz val="7.5"/>
        <rFont val="Arial"/>
        <family val="2"/>
      </rPr>
      <t>[NB: CALCULATE BY ENTERING NO OF DAYS AND 1 HOUR ONLY IN HRS DEPLOYED COLUMN]</t>
    </r>
  </si>
  <si>
    <t>Daily Rate: Full employable cost including pension cost.      [NB: CALCULATE BY ENTERING NO OF DAYS AND 1 HOUR ONLY IN HRS DEPLOYED COLUMN]</t>
  </si>
  <si>
    <t>Dive Technician</t>
  </si>
  <si>
    <t>Consumables Type</t>
  </si>
  <si>
    <t>Equipment Type</t>
  </si>
  <si>
    <t>Police Horses and Marine Units are Team Deployed Resources and due to scarcity, will be charged for, following the guidelines provided in Appendix 8 of the NPCC Guidance or under any locally established agreement(s) for supply.</t>
  </si>
  <si>
    <t>Values must be entered to enable calculations</t>
  </si>
  <si>
    <t>IDR RESOURCES</t>
  </si>
  <si>
    <t>IDR Resource Calculation</t>
  </si>
  <si>
    <t>HOURS Deployed</t>
  </si>
  <si>
    <t>TDR RESOURCES</t>
  </si>
  <si>
    <t>TDR Resource Calculation</t>
  </si>
  <si>
    <t>At this time NPoCC only defines two Team Deployed Resources (TDR) these are: Mounted and Marine</t>
  </si>
  <si>
    <t>IDR RESOURCES TOTAL</t>
  </si>
  <si>
    <t>TDR RESOURCES TOTAL</t>
  </si>
  <si>
    <t>SCP</t>
  </si>
  <si>
    <t>£
HOURLY</t>
  </si>
  <si>
    <t>£
NI
PA</t>
  </si>
  <si>
    <t>Apprentice Levy
PA</t>
  </si>
  <si>
    <t>Productive Days</t>
  </si>
  <si>
    <t>Superan</t>
  </si>
  <si>
    <t>Revised employable cost</t>
  </si>
  <si>
    <t>Attachment - daily rate</t>
  </si>
  <si>
    <t>Specialist equipment</t>
  </si>
  <si>
    <t>TDR Equipment</t>
  </si>
  <si>
    <t xml:space="preserve"> TDR EQUIPMENT TOTAL</t>
  </si>
  <si>
    <t xml:space="preserve">Annual Cost of Training </t>
  </si>
  <si>
    <t xml:space="preserve">Annual Cost of Feed </t>
  </si>
  <si>
    <t>Any applicable Annual Income / Sponsorship</t>
  </si>
  <si>
    <t xml:space="preserve">Annual Cost of Serviced Stables and Grazing  </t>
  </si>
  <si>
    <t xml:space="preserve">Annual Tack/equipment Cost </t>
  </si>
  <si>
    <t>Annual Cost of Vet Treatment</t>
  </si>
  <si>
    <t>Annual Cost</t>
  </si>
  <si>
    <t>ANNUAL  TOTAL</t>
  </si>
  <si>
    <t>TDR Resources</t>
  </si>
  <si>
    <t>Enter Total No. of Horses in Mounted Unit:</t>
  </si>
  <si>
    <t>Cost per Horse</t>
  </si>
  <si>
    <t>MOUNTED UNIT ANNUAL COST</t>
  </si>
  <si>
    <t>Daily Horse Calculation</t>
  </si>
  <si>
    <t>DAILY HORSE COST</t>
  </si>
  <si>
    <t>Annual Cost of Replacement Animal</t>
  </si>
  <si>
    <t>MARINE/DIVE UNIT ANNUAL COST</t>
  </si>
  <si>
    <t>Annual Cost of Training/Accreditation</t>
  </si>
  <si>
    <t>Annual Cost of Marine/Dive Facilities</t>
  </si>
  <si>
    <t xml:space="preserve">Annual Revenue/Capital Equipment Replacement Cost </t>
  </si>
  <si>
    <t xml:space="preserve">Annual Revenue/Capital Marine Craft Replacement Cost </t>
  </si>
  <si>
    <t>Daily Marine/Dive Calculation</t>
  </si>
  <si>
    <t>Enter Total No. of Marine Officers in Marine/Dive Unit:</t>
  </si>
  <si>
    <t xml:space="preserve">Annual Revenue Equipment Maintenance Cost </t>
  </si>
  <si>
    <t xml:space="preserve">Annual Revenue Marine Craft Maintenance Cost </t>
  </si>
  <si>
    <t>DAILY DIVE/MARINE RUNNING COST</t>
  </si>
  <si>
    <t xml:space="preserve">TDR </t>
  </si>
  <si>
    <t>Cost per Officer</t>
  </si>
  <si>
    <t>Cost Type</t>
  </si>
  <si>
    <t>Mounted Unit</t>
  </si>
  <si>
    <t>Are PSUs being Supplied? - YES</t>
  </si>
  <si>
    <t>Are PSUs being Supplied? - NO</t>
  </si>
  <si>
    <t/>
  </si>
  <si>
    <t>Forces should use the Mounted and Marine Unit methodology, below, to calculate the daily rate for a horse/marine equipment  which will flow through the worksheet.  However, should forces not want to declare the cost of the units they can overtype the daily rate in the TDR equipment box below.</t>
  </si>
  <si>
    <t>USER NOTES:</t>
  </si>
  <si>
    <t xml:space="preserve">1.THIS CLAIM FORM  SHOULD BE USED IN CONJUNCTION WITH THE NPCC GUIDANCE: CHARGING FOR POLICE SERVICES: MUTUAL AID COST RECOVERY.  </t>
  </si>
  <si>
    <t>2.THIS FORM AND THE GUIDANCE WILL BE  UPDATED ANNUALLY WITH NEW CHARGING RATES AND ANY REGULATION OR GUIDANCE CHANGES.</t>
  </si>
  <si>
    <t>Other Agreed bonus</t>
  </si>
  <si>
    <t>TDR RESOURCES SUB-TOTAL</t>
  </si>
  <si>
    <t>IDR ADDL RESOURCES TOTAL</t>
  </si>
  <si>
    <t>PSU Hours - Greater than 64 hours</t>
  </si>
  <si>
    <t>PSU Hours - 64 hours or less</t>
  </si>
  <si>
    <t>Avg hours per Day</t>
  </si>
  <si>
    <t>Avg hours
per Day</t>
  </si>
  <si>
    <t>MA Allowances Recovery (inc NI)</t>
  </si>
  <si>
    <t>Enhanced Overnight/Hardship</t>
  </si>
  <si>
    <t>Basic Overnight</t>
  </si>
  <si>
    <t>Hardship Only</t>
  </si>
  <si>
    <t>ALL IDR RESOURCES TOTAL</t>
  </si>
  <si>
    <t>ALL IDR ALLOWANCES TOTAL</t>
  </si>
  <si>
    <t>ALL IDR VEHICLES/FUEL TOTAL</t>
  </si>
  <si>
    <t>ALL IDR CONSUMABLES TOTAL</t>
  </si>
  <si>
    <t>ALL IDR EQUIPMENT TOTAL</t>
  </si>
  <si>
    <t>ALL IDR SUB-TOTAL</t>
  </si>
  <si>
    <t>Avg Hours Deployed</t>
  </si>
  <si>
    <t>TDR CLAIM FORM TOTALS</t>
  </si>
  <si>
    <t>TDR ALLOWANCES TOTAL</t>
  </si>
  <si>
    <t>TDR VEHICLES &amp; FUEL TOTAL</t>
  </si>
  <si>
    <t>TDR CONSUMABLES TOTAL</t>
  </si>
  <si>
    <t>TDR EQUIPMENT TOTAL</t>
  </si>
  <si>
    <t>TDR OPTIONAL CALCULATION EVIDENCE</t>
  </si>
  <si>
    <t>TDR CLAIM EVIDENCE</t>
  </si>
  <si>
    <t>TDR ALLOWANCE TOTAL</t>
  </si>
  <si>
    <t>TDR VEHICLE TOTAL</t>
  </si>
  <si>
    <t>IDR ADDL RESOURCES</t>
  </si>
  <si>
    <t>IDR ADDL Resource Calculation</t>
  </si>
  <si>
    <t>IDR ADDL ALLOWANCE TOTAL</t>
  </si>
  <si>
    <t>IDR ADDL CONSUMABLES TOTAL</t>
  </si>
  <si>
    <t>ADDL CONSUMABLES TOTAL</t>
  </si>
  <si>
    <t>ADDL VEHICLE TOTAL</t>
  </si>
  <si>
    <t>IDR ADDL Consumables Calculation</t>
  </si>
  <si>
    <t>IDR ADDL CONSUMABLES</t>
  </si>
  <si>
    <t>IDR ADDL Vehicle &amp; fuel Calculation</t>
  </si>
  <si>
    <t>ADDL EQUIPMENT TOTAL</t>
  </si>
  <si>
    <t>IDR ADDL SPECIALIST EQUIPMENT</t>
  </si>
  <si>
    <t>IDR ADDL Equipment Calculation</t>
  </si>
  <si>
    <t>IDR ADDL ALLOWANCES</t>
  </si>
  <si>
    <t>IDR ADDL Allowance Calculation</t>
  </si>
  <si>
    <t>IDR ADDL CLAIM FORM TOTALS</t>
  </si>
  <si>
    <t>IDR ADDL SUB-TOTAL</t>
  </si>
  <si>
    <t>TDR SUB-TOTAL</t>
  </si>
  <si>
    <t>IDR ADDL ALLOWANCES TOTAL</t>
  </si>
  <si>
    <t>IDR ADDL VEHICLES &amp; FUEL TOTAL</t>
  </si>
  <si>
    <t>IDR ADDL EQUIPMENT TOTAL</t>
  </si>
  <si>
    <t>TDR CONSUMABLES</t>
  </si>
  <si>
    <t>TDR Consumables Calculation</t>
  </si>
  <si>
    <t>TDR Vehicle &amp; fuel Calculation</t>
  </si>
  <si>
    <t>TDR Equipment Calculation</t>
  </si>
  <si>
    <t>TDR SPECIALIST EQUIPMENT COSTS</t>
  </si>
  <si>
    <t>TDR Allowance Calculation</t>
  </si>
  <si>
    <t>TDR ALLOWANCES</t>
  </si>
  <si>
    <t>IDR ALLOWANCES</t>
  </si>
  <si>
    <t>IDR Allowance Calculation</t>
  </si>
  <si>
    <t>IDR Equipment Calculation</t>
  </si>
  <si>
    <t>IDR SPECIALIST EQUIPMENT</t>
  </si>
  <si>
    <t>IDR Vehicle &amp; fuel Calculation</t>
  </si>
  <si>
    <t>IDR Consumables Calculation</t>
  </si>
  <si>
    <t>ALL IDR/TDR TOTAL</t>
  </si>
  <si>
    <t>GRAND TOTAL</t>
  </si>
  <si>
    <t xml:space="preserve">4. ONLY ONE CLAIM FORM SHOULD BE USED PER FORCE, EXCEPT WHERE FORM CAPACITY EXCEEDED OR CLAIM SPANS MULTIPLE FINANCIAL YEARS. </t>
  </si>
  <si>
    <t>NOTES</t>
  </si>
  <si>
    <t>If necessary
Overide with
SPS Rate</t>
  </si>
  <si>
    <t xml:space="preserve">Enter Operation NAME Here </t>
  </si>
  <si>
    <t>Value either calculated or can be overwritten</t>
  </si>
  <si>
    <t>Overide
Grade</t>
  </si>
  <si>
    <t>3. IF DEPLOYMENT CROSSES MAR/APR DATE BOUNDARY THEN A SEPARATE FORM FOR EACH FINANCIAL YEAR SHOULD BE USED (DUE TO RATE CHANGES)</t>
  </si>
  <si>
    <t>Special Constable</t>
  </si>
  <si>
    <t>IDR POLICE VEHICLES &amp; FUEL</t>
  </si>
  <si>
    <t xml:space="preserve">IDR CONSUMABLES </t>
  </si>
  <si>
    <t>Hire Cars</t>
  </si>
  <si>
    <t>IDR ADDL POLICE VEHICLES &amp; FUEL</t>
  </si>
  <si>
    <t>TDR POLICE VEHICLES &amp; FUEL</t>
  </si>
  <si>
    <t>Invoice No:</t>
  </si>
  <si>
    <t>UKFPU</t>
  </si>
  <si>
    <t>ONLY CLAIM HOURS IN EXCESS OF 8. FIRST 8 HOURS IS FUNDED BY HOME FORCE FOR UKFPU DEPLOYMENTS</t>
  </si>
  <si>
    <t>PA Annum</t>
  </si>
  <si>
    <t>Total employable cost</t>
  </si>
  <si>
    <t>Provision of Vehicle Only</t>
  </si>
  <si>
    <t>Miles Per Litre</t>
  </si>
  <si>
    <t>Other Specialist e.g. Mobile Police Station</t>
  </si>
  <si>
    <t>Other Motorised Equipment</t>
  </si>
  <si>
    <t>#</t>
  </si>
  <si>
    <t>Electric ONLY Vehicle</t>
  </si>
  <si>
    <t>Note - These should (and do) include pension</t>
  </si>
  <si>
    <t>From ACPO Calcs</t>
  </si>
  <si>
    <t>For example, the “V” festivals, COP26 and Commonwealth Games. Here the event has a capacity requirement beyond a single force or where a force cannot alone police the event and provide appropriate resilience in the rest of its force area;</t>
  </si>
  <si>
    <t>GRADE 3</t>
  </si>
  <si>
    <t>INTERNATIONAL MUTUAL AID</t>
  </si>
  <si>
    <t>Charge basic salary hours worked x 1.5 for all ranks and grades except for bank holidays where PC, Sgt and Police Staff charge basic hours x 2 and all other officers x 1.5</t>
  </si>
  <si>
    <t>Notice N/A - BH starts 07:00 on day of BH ends 06:59 the next day</t>
  </si>
  <si>
    <t>For example deployment to British Virgin Islands (2017) in response to the Hurricanes, or to assist short term in a missing person or murder enquiry. It can also include short-term requests to provide training and development support.</t>
  </si>
  <si>
    <t>Range from pre-planned, short notice pre-planned to spontaneous need</t>
  </si>
  <si>
    <t>2022-23</t>
  </si>
  <si>
    <t>2021-22</t>
  </si>
  <si>
    <t>2020-21</t>
  </si>
  <si>
    <t>2023-24</t>
  </si>
  <si>
    <t>Grade 3</t>
  </si>
  <si>
    <t>Productive hours</t>
  </si>
  <si>
    <t>BASE £
2023-24
PA</t>
  </si>
  <si>
    <t>BASE £
2022-23
PA</t>
  </si>
  <si>
    <t>BASE £
2021-22
PA</t>
  </si>
  <si>
    <t>2024-25</t>
  </si>
  <si>
    <t>Protection Allowance Rate 1</t>
  </si>
  <si>
    <t>Protection Allowance Rate 2</t>
  </si>
  <si>
    <t>NPoCC 2024-25
MUTUAL AID IDR
&amp; SUMMARY FORM</t>
  </si>
  <si>
    <t>NPoCC 2024-25
MUTUAL AID
TDR 
SPECIALIST FORM</t>
  </si>
  <si>
    <t>NPoCC 2024-25
MUTUAL AID IDR 
ADDITIONAL FORM</t>
  </si>
  <si>
    <t>HAMPSHIRE &amp; ISLE OF WHITE CONSTABULARY</t>
  </si>
  <si>
    <t>GUERNSEY POLICE</t>
  </si>
  <si>
    <t>ISLE OF MAN CONSTABULARY</t>
  </si>
  <si>
    <t>STATES OF JERSEY POLICE</t>
  </si>
  <si>
    <t>JERS</t>
  </si>
  <si>
    <t>GUER</t>
  </si>
  <si>
    <t>ISLE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</si>
</sst>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5" formatCode="&quot;£&quot;#,##0;\-&quot;£&quot;#,##0"/>
    <numFmt numFmtId="6" formatCode="&quot;£&quot;#,##0;[Red]\-&quot;£&quot;#,##0"/>
    <numFmt numFmtId="8" formatCode="&quot;£&quot;#,##0.00;[Red]\-&quot;£&quot;#,##0.00"/>
    <numFmt numFmtId="44" formatCode="_-&quot;£&quot;* #,##0.00_-;\-&quot;£&quot;* #,##0.00_-;_-&quot;£&quot;* &quot;-&quot;??_-;_-@_-"/>
    <numFmt numFmtId="43" formatCode="_-* #,##0.00_-;\-* #,##0.00_-;_-* &quot;-&quot;??_-;_-@_-"/>
    <numFmt numFmtId="164" formatCode="&quot;£&quot;#,##0.00"/>
    <numFmt numFmtId="165" formatCode="&quot;£&quot;#,##0.0000"/>
    <numFmt numFmtId="166" formatCode="&quot;£&quot;#,##0.000"/>
    <numFmt numFmtId="167" formatCode="_-&quot;£&quot;* #,##0_-;\-&quot;£&quot;* #,##0_-;_-&quot;£&quot;* &quot;-&quot;??_-;_-@_-"/>
    <numFmt numFmtId="168" formatCode="_-* #,##0.0_-;\-* #,##0.0_-;_-* &quot;-&quot;??_-;_-@_-"/>
    <numFmt numFmtId="169" formatCode="_-* #,##0_-;\-* #,##0_-;_-* &quot;-&quot;??_-;_-@_-"/>
    <numFmt numFmtId="170" formatCode="&quot;£&quot;#,##0;[Red]\(&quot;£&quot;#,##0\)"/>
    <numFmt numFmtId="171" formatCode="#,##0.00_ ;\-#,##0.00\ "/>
    <numFmt numFmtId="172" formatCode="&quot;£&quot;#,##0"/>
    <numFmt numFmtId="173" formatCode="0.0%"/>
  </numFmts>
  <fonts count="72" x14ac:knownFonts="1">
    <font>
      <sz val="12"/>
      <color theme="1"/>
      <name val="Arial"/>
      <family val="2"/>
    </font>
    <font>
      <sz val="11"/>
      <color theme="1"/>
      <name val="Calibri"/>
      <family val="2"/>
      <scheme val="minor"/>
    </font>
    <font>
      <b/>
      <sz val="8"/>
      <color theme="0"/>
      <name val="Arial"/>
      <family val="2"/>
    </font>
    <font>
      <sz val="8"/>
      <name val="Arial"/>
      <family val="2"/>
    </font>
    <font>
      <b/>
      <sz val="11"/>
      <name val="Arial"/>
      <family val="2"/>
    </font>
    <font>
      <b/>
      <sz val="8"/>
      <name val="Arial"/>
      <family val="2"/>
    </font>
    <font>
      <b/>
      <sz val="10"/>
      <name val="Arial"/>
      <family val="2"/>
    </font>
    <font>
      <b/>
      <sz val="14"/>
      <color theme="1"/>
      <name val="Arial"/>
      <family val="2"/>
    </font>
    <font>
      <sz val="10"/>
      <name val="Arial"/>
      <family val="2"/>
    </font>
    <font>
      <sz val="11"/>
      <color theme="1"/>
      <name val="Calibri"/>
      <family val="2"/>
      <scheme val="minor"/>
    </font>
    <font>
      <b/>
      <sz val="12"/>
      <color theme="1"/>
      <name val="Arial"/>
      <family val="2"/>
    </font>
    <font>
      <b/>
      <i/>
      <sz val="14"/>
      <color theme="1"/>
      <name val="Arial"/>
      <family val="2"/>
    </font>
    <font>
      <i/>
      <sz val="11"/>
      <color theme="1"/>
      <name val="Arial"/>
      <family val="2"/>
    </font>
    <font>
      <i/>
      <sz val="11"/>
      <name val="Arial"/>
      <family val="2"/>
    </font>
    <font>
      <b/>
      <sz val="12"/>
      <name val="Arial"/>
      <family val="2"/>
    </font>
    <font>
      <b/>
      <i/>
      <sz val="12"/>
      <color theme="1"/>
      <name val="Arial"/>
      <family val="2"/>
    </font>
    <font>
      <b/>
      <i/>
      <sz val="11"/>
      <name val="Arial"/>
      <family val="2"/>
    </font>
    <font>
      <sz val="12"/>
      <color theme="0"/>
      <name val="Arial"/>
      <family val="2"/>
    </font>
    <font>
      <i/>
      <sz val="10"/>
      <name val="Arial"/>
      <family val="2"/>
    </font>
    <font>
      <b/>
      <i/>
      <sz val="12"/>
      <name val="Arial"/>
      <family val="2"/>
    </font>
    <font>
      <b/>
      <i/>
      <sz val="10"/>
      <name val="Arial"/>
      <family val="2"/>
    </font>
    <font>
      <i/>
      <sz val="12"/>
      <name val="Arial"/>
      <family val="2"/>
    </font>
    <font>
      <b/>
      <i/>
      <sz val="12"/>
      <color theme="0"/>
      <name val="Arial"/>
      <family val="2"/>
    </font>
    <font>
      <sz val="10"/>
      <color theme="0"/>
      <name val="Arial"/>
      <family val="2"/>
    </font>
    <font>
      <sz val="12"/>
      <color theme="1"/>
      <name val="Arial"/>
      <family val="2"/>
    </font>
    <font>
      <sz val="10"/>
      <name val="Arial Narrow"/>
      <family val="2"/>
    </font>
    <font>
      <i/>
      <sz val="10"/>
      <color theme="1"/>
      <name val="Arial"/>
      <family val="2"/>
    </font>
    <font>
      <sz val="16"/>
      <color theme="1"/>
      <name val="Arial"/>
      <family val="2"/>
    </font>
    <font>
      <sz val="16"/>
      <color theme="0"/>
      <name val="Arial"/>
      <family val="2"/>
    </font>
    <font>
      <i/>
      <sz val="10"/>
      <color theme="0"/>
      <name val="Arial"/>
      <family val="2"/>
    </font>
    <font>
      <b/>
      <sz val="14"/>
      <color theme="0"/>
      <name val="Arial"/>
      <family val="2"/>
    </font>
    <font>
      <sz val="10"/>
      <color rgb="FFFF0000"/>
      <name val="Arial"/>
      <family val="2"/>
    </font>
    <font>
      <i/>
      <sz val="12"/>
      <color theme="1"/>
      <name val="Arial"/>
      <family val="2"/>
    </font>
    <font>
      <sz val="10"/>
      <color theme="1"/>
      <name val="Arial"/>
      <family val="2"/>
    </font>
    <font>
      <sz val="12"/>
      <name val="Arial"/>
      <family val="2"/>
    </font>
    <font>
      <b/>
      <sz val="14"/>
      <name val="Arial"/>
      <family val="2"/>
    </font>
    <font>
      <b/>
      <sz val="10"/>
      <color theme="1"/>
      <name val="Arial"/>
      <family val="2"/>
    </font>
    <font>
      <b/>
      <sz val="36"/>
      <color theme="0"/>
      <name val="Arial"/>
      <family val="2"/>
    </font>
    <font>
      <b/>
      <i/>
      <sz val="10"/>
      <color theme="1"/>
      <name val="Arial"/>
      <family val="2"/>
    </font>
    <font>
      <b/>
      <sz val="18"/>
      <color theme="8" tint="-0.249977111117893"/>
      <name val="Arial"/>
      <family val="2"/>
    </font>
    <font>
      <sz val="14"/>
      <color theme="1"/>
      <name val="Arial"/>
      <family val="2"/>
    </font>
    <font>
      <sz val="14"/>
      <color theme="0"/>
      <name val="Arial"/>
      <family val="2"/>
    </font>
    <font>
      <b/>
      <i/>
      <sz val="7.5"/>
      <name val="Arial"/>
      <family val="2"/>
    </font>
    <font>
      <sz val="12"/>
      <color rgb="FFFF0000"/>
      <name val="Arial"/>
      <family val="2"/>
    </font>
    <font>
      <sz val="14"/>
      <color rgb="FFFF0000"/>
      <name val="Arial"/>
      <family val="2"/>
    </font>
    <font>
      <b/>
      <sz val="16"/>
      <color theme="0"/>
      <name val="Arial"/>
      <family val="2"/>
    </font>
    <font>
      <b/>
      <sz val="16"/>
      <name val="Arial"/>
      <family val="2"/>
    </font>
    <font>
      <b/>
      <i/>
      <sz val="10"/>
      <color theme="0"/>
      <name val="Arial"/>
      <family val="2"/>
    </font>
    <font>
      <b/>
      <i/>
      <sz val="11"/>
      <color theme="0"/>
      <name val="Arial"/>
      <family val="2"/>
    </font>
    <font>
      <u/>
      <sz val="12"/>
      <color theme="10"/>
      <name val="Arial"/>
      <family val="2"/>
    </font>
    <font>
      <b/>
      <sz val="10"/>
      <color theme="0"/>
      <name val="Arial"/>
      <family val="2"/>
    </font>
    <font>
      <sz val="8"/>
      <color theme="0"/>
      <name val="Arial"/>
      <family val="2"/>
    </font>
    <font>
      <i/>
      <sz val="9"/>
      <color theme="1"/>
      <name val="Arial"/>
      <family val="2"/>
    </font>
    <font>
      <sz val="11"/>
      <name val="Calibri"/>
      <family val="2"/>
    </font>
    <font>
      <b/>
      <sz val="9"/>
      <name val="Arial"/>
      <family val="2"/>
    </font>
    <font>
      <sz val="9"/>
      <name val="Arial"/>
      <family val="2"/>
    </font>
    <font>
      <b/>
      <sz val="12"/>
      <color theme="1"/>
      <name val="Calibri"/>
      <family val="2"/>
      <scheme val="minor"/>
    </font>
    <font>
      <b/>
      <sz val="10"/>
      <color theme="4" tint="-0.499984740745262"/>
      <name val="Arial"/>
      <family val="2"/>
    </font>
    <font>
      <sz val="10"/>
      <color theme="4" tint="-0.499984740745262"/>
      <name val="Arial"/>
      <family val="2"/>
    </font>
    <font>
      <sz val="12"/>
      <color theme="1"/>
      <name val="Calibri"/>
      <family val="2"/>
    </font>
    <font>
      <sz val="10"/>
      <name val="Calibri"/>
      <family val="2"/>
      <scheme val="minor"/>
    </font>
    <font>
      <b/>
      <u/>
      <sz val="10"/>
      <name val="Calibri"/>
      <family val="2"/>
      <scheme val="minor"/>
    </font>
    <font>
      <sz val="12"/>
      <color theme="1"/>
      <name val="Calibri"/>
      <family val="2"/>
      <scheme val="minor"/>
    </font>
    <font>
      <sz val="12"/>
      <color rgb="FF000000"/>
      <name val="Calibri"/>
      <family val="2"/>
    </font>
    <font>
      <sz val="9"/>
      <color indexed="81"/>
      <name val="Tahoma"/>
      <family val="2"/>
    </font>
    <font>
      <b/>
      <sz val="9"/>
      <color indexed="81"/>
      <name val="Tahoma"/>
      <family val="2"/>
    </font>
    <font>
      <b/>
      <sz val="10"/>
      <color rgb="FF000000"/>
      <name val="Arial"/>
      <family val="2"/>
    </font>
    <font>
      <b/>
      <u/>
      <sz val="10"/>
      <color rgb="FF000000"/>
      <name val="Arial"/>
      <family val="2"/>
    </font>
    <font>
      <sz val="10"/>
      <color rgb="FF000000"/>
      <name val="Arial"/>
      <family val="2"/>
    </font>
    <font>
      <b/>
      <u/>
      <sz val="10"/>
      <color theme="1"/>
      <name val="Calibri"/>
      <family val="2"/>
    </font>
    <font>
      <b/>
      <sz val="10"/>
      <name val="Calibri"/>
      <family val="2"/>
      <scheme val="minor"/>
    </font>
    <font>
      <sz val="10"/>
      <color theme="1"/>
      <name val="Calibri"/>
      <family val="2"/>
      <scheme val="minor"/>
    </font>
  </fonts>
  <fills count="2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indexed="43"/>
        <bgColor indexed="64"/>
      </patternFill>
    </fill>
    <fill>
      <patternFill patternType="solid">
        <fgColor rgb="FFFCFFDB"/>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tint="-0.499984740745262"/>
        <bgColor indexed="64"/>
      </patternFill>
    </fill>
    <fill>
      <patternFill patternType="solid">
        <fgColor rgb="FFFF00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tint="-0.14996795556505021"/>
        <bgColor indexed="64"/>
      </patternFill>
    </fill>
    <fill>
      <patternFill patternType="solid">
        <fgColor theme="4" tint="0.59996337778862885"/>
        <bgColor indexed="64"/>
      </patternFill>
    </fill>
    <fill>
      <patternFill patternType="solid">
        <fgColor theme="7" tint="0.79998168889431442"/>
        <bgColor indexed="64"/>
      </patternFill>
    </fill>
    <fill>
      <patternFill patternType="solid">
        <fgColor rgb="FFFFFFCC"/>
        <bgColor indexed="64"/>
      </patternFill>
    </fill>
    <fill>
      <patternFill patternType="solid">
        <fgColor rgb="FFFFFF99"/>
        <bgColor indexed="64"/>
      </patternFill>
    </fill>
    <fill>
      <patternFill patternType="solid">
        <fgColor theme="5" tint="0.79998168889431442"/>
        <bgColor indexed="64"/>
      </patternFill>
    </fill>
    <fill>
      <patternFill patternType="solid">
        <fgColor theme="4" tint="0.79998168889431442"/>
        <bgColor indexed="64"/>
      </patternFill>
    </fill>
  </fills>
  <borders count="84">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ck">
        <color auto="1"/>
      </top>
      <bottom style="thick">
        <color auto="1"/>
      </bottom>
      <diagonal/>
    </border>
    <border>
      <left/>
      <right style="medium">
        <color indexed="64"/>
      </right>
      <top style="thick">
        <color auto="1"/>
      </top>
      <bottom style="thick">
        <color auto="1"/>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s>
  <cellStyleXfs count="8">
    <xf numFmtId="0" fontId="0" fillId="0" borderId="0"/>
    <xf numFmtId="0" fontId="9" fillId="0" borderId="0"/>
    <xf numFmtId="0" fontId="8" fillId="0" borderId="0"/>
    <xf numFmtId="43" fontId="24" fillId="0" borderId="0" applyFont="0" applyFill="0" applyBorder="0" applyAlignment="0" applyProtection="0"/>
    <xf numFmtId="0" fontId="49" fillId="0" borderId="0" applyNumberFormat="0" applyFill="0" applyBorder="0" applyAlignment="0" applyProtection="0"/>
    <xf numFmtId="0" fontId="53" fillId="0" borderId="0"/>
    <xf numFmtId="9" fontId="24" fillId="0" borderId="0" applyFont="0" applyFill="0" applyBorder="0" applyAlignment="0" applyProtection="0"/>
    <xf numFmtId="44" fontId="24" fillId="0" borderId="0" applyFont="0" applyFill="0" applyBorder="0" applyAlignment="0" applyProtection="0"/>
  </cellStyleXfs>
  <cellXfs count="923">
    <xf numFmtId="0" fontId="0" fillId="0" borderId="0" xfId="0"/>
    <xf numFmtId="0" fontId="7" fillId="0" borderId="0" xfId="1" applyFont="1"/>
    <xf numFmtId="0" fontId="9" fillId="0" borderId="0" xfId="1" applyAlignment="1">
      <alignment vertical="center"/>
    </xf>
    <xf numFmtId="0" fontId="9" fillId="0" borderId="0" xfId="1"/>
    <xf numFmtId="0" fontId="15" fillId="0" borderId="0" xfId="1" applyFont="1"/>
    <xf numFmtId="0" fontId="8" fillId="0" borderId="0" xfId="2"/>
    <xf numFmtId="0" fontId="6" fillId="0" borderId="0" xfId="2" applyFont="1"/>
    <xf numFmtId="0" fontId="8" fillId="0" borderId="0" xfId="2" applyFont="1"/>
    <xf numFmtId="0" fontId="6" fillId="0" borderId="0" xfId="2" applyFont="1" applyAlignment="1">
      <alignment horizontal="left" vertical="top"/>
    </xf>
    <xf numFmtId="0" fontId="8" fillId="0" borderId="0" xfId="2" applyFont="1" applyAlignment="1"/>
    <xf numFmtId="0" fontId="8" fillId="0" borderId="0" xfId="2" applyAlignment="1">
      <alignment vertical="top" wrapText="1"/>
    </xf>
    <xf numFmtId="0" fontId="6" fillId="0" borderId="0" xfId="2" applyFont="1" applyAlignment="1">
      <alignment vertical="top"/>
    </xf>
    <xf numFmtId="0" fontId="8" fillId="0" borderId="0" xfId="2" applyAlignment="1">
      <alignment vertical="top"/>
    </xf>
    <xf numFmtId="0" fontId="18" fillId="0" borderId="0" xfId="0" applyFont="1" applyBorder="1" applyAlignment="1" applyProtection="1">
      <alignment horizontal="left" vertical="top" wrapText="1"/>
      <protection hidden="1"/>
    </xf>
    <xf numFmtId="0" fontId="18" fillId="0" borderId="0" xfId="0" applyFont="1" applyBorder="1" applyAlignment="1"/>
    <xf numFmtId="0" fontId="8" fillId="0" borderId="0" xfId="0" applyFont="1" applyBorder="1" applyAlignment="1"/>
    <xf numFmtId="0" fontId="18" fillId="0" borderId="0" xfId="0" applyFont="1" applyBorder="1" applyAlignment="1" applyProtection="1">
      <alignment horizontal="left" wrapText="1"/>
      <protection hidden="1"/>
    </xf>
    <xf numFmtId="0" fontId="18" fillId="0" borderId="0" xfId="0" applyFont="1" applyBorder="1" applyAlignment="1" applyProtection="1">
      <alignment vertical="top" wrapText="1"/>
      <protection hidden="1"/>
    </xf>
    <xf numFmtId="0" fontId="18" fillId="0" borderId="0" xfId="0" applyFont="1" applyFill="1" applyBorder="1" applyAlignment="1" applyProtection="1">
      <alignment horizontal="left" vertical="top" wrapText="1"/>
      <protection hidden="1"/>
    </xf>
    <xf numFmtId="0" fontId="0" fillId="0" borderId="0" xfId="0" applyBorder="1"/>
    <xf numFmtId="0" fontId="18" fillId="0" borderId="0" xfId="0" applyFont="1" applyFill="1" applyBorder="1" applyAlignment="1" applyProtection="1">
      <alignment vertical="top" wrapText="1"/>
      <protection hidden="1"/>
    </xf>
    <xf numFmtId="0" fontId="18" fillId="0" borderId="31" xfId="0" applyFont="1" applyFill="1" applyBorder="1" applyAlignment="1" applyProtection="1">
      <alignment vertical="top" wrapText="1"/>
      <protection hidden="1"/>
    </xf>
    <xf numFmtId="0" fontId="8" fillId="0" borderId="13" xfId="0" applyFont="1" applyBorder="1"/>
    <xf numFmtId="0" fontId="18" fillId="0" borderId="14" xfId="0" applyFont="1" applyFill="1" applyBorder="1" applyAlignment="1" applyProtection="1">
      <alignment vertical="top" wrapText="1"/>
      <protection hidden="1"/>
    </xf>
    <xf numFmtId="0" fontId="20" fillId="0" borderId="18" xfId="0" applyFont="1" applyFill="1" applyBorder="1" applyAlignment="1" applyProtection="1">
      <alignment vertical="top" wrapText="1"/>
      <protection hidden="1"/>
    </xf>
    <xf numFmtId="0" fontId="0" fillId="0" borderId="0" xfId="0" applyFill="1"/>
    <xf numFmtId="0" fontId="18" fillId="0" borderId="10" xfId="0" applyFont="1" applyFill="1" applyBorder="1" applyAlignment="1" applyProtection="1">
      <alignment horizontal="left" vertical="top" wrapText="1"/>
      <protection hidden="1"/>
    </xf>
    <xf numFmtId="0" fontId="18" fillId="0" borderId="11" xfId="0" applyFont="1" applyFill="1" applyBorder="1" applyAlignment="1" applyProtection="1">
      <alignment horizontal="left" vertical="top" wrapText="1"/>
      <protection hidden="1"/>
    </xf>
    <xf numFmtId="0" fontId="18" fillId="0" borderId="12" xfId="0" applyFont="1" applyFill="1" applyBorder="1" applyAlignment="1" applyProtection="1">
      <alignment horizontal="left" vertical="top" wrapText="1"/>
      <protection hidden="1"/>
    </xf>
    <xf numFmtId="0" fontId="18" fillId="0" borderId="31" xfId="0" applyFont="1" applyFill="1" applyBorder="1" applyAlignment="1" applyProtection="1">
      <alignment horizontal="left" wrapText="1"/>
      <protection hidden="1"/>
    </xf>
    <xf numFmtId="0" fontId="21" fillId="0" borderId="31" xfId="0" applyFont="1" applyFill="1" applyBorder="1" applyAlignment="1" applyProtection="1">
      <alignment horizontal="left" wrapText="1"/>
      <protection hidden="1"/>
    </xf>
    <xf numFmtId="0" fontId="16" fillId="0" borderId="31" xfId="0" applyFont="1" applyFill="1" applyBorder="1" applyAlignment="1" applyProtection="1">
      <alignment vertical="top" wrapText="1"/>
      <protection hidden="1"/>
    </xf>
    <xf numFmtId="0" fontId="25" fillId="0" borderId="0" xfId="1" applyFont="1" applyBorder="1" applyAlignment="1">
      <alignment vertical="top" wrapText="1"/>
    </xf>
    <xf numFmtId="0" fontId="16" fillId="0" borderId="40" xfId="0" applyFont="1" applyFill="1" applyBorder="1" applyAlignment="1" applyProtection="1">
      <alignment vertical="top" wrapText="1"/>
      <protection hidden="1"/>
    </xf>
    <xf numFmtId="0" fontId="25" fillId="8" borderId="0" xfId="1" applyFont="1" applyFill="1" applyBorder="1" applyAlignment="1">
      <alignment vertical="top" wrapText="1"/>
    </xf>
    <xf numFmtId="0" fontId="0" fillId="0" borderId="0" xfId="0" applyFill="1" applyBorder="1" applyAlignment="1" applyProtection="1">
      <alignment horizontal="center"/>
      <protection hidden="1"/>
    </xf>
    <xf numFmtId="0" fontId="7" fillId="0" borderId="0" xfId="0" applyFont="1" applyFill="1" applyBorder="1" applyAlignment="1" applyProtection="1">
      <alignment horizontal="center"/>
      <protection hidden="1"/>
    </xf>
    <xf numFmtId="0" fontId="29" fillId="0" borderId="0" xfId="0" applyFont="1" applyFill="1" applyBorder="1" applyAlignment="1" applyProtection="1">
      <alignment vertical="top" wrapText="1"/>
      <protection hidden="1"/>
    </xf>
    <xf numFmtId="0" fontId="3" fillId="0" borderId="0" xfId="0" applyFont="1" applyFill="1"/>
    <xf numFmtId="0" fontId="3" fillId="0" borderId="0" xfId="0" applyFont="1" applyFill="1" applyBorder="1"/>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0" fontId="3" fillId="0" borderId="0" xfId="0" applyNumberFormat="1" applyFont="1" applyFill="1" applyBorder="1"/>
    <xf numFmtId="164" fontId="3" fillId="0" borderId="0" xfId="0" applyNumberFormat="1" applyFont="1" applyFill="1" applyBorder="1"/>
    <xf numFmtId="0" fontId="8" fillId="0" borderId="2" xfId="0" applyFont="1" applyBorder="1" applyAlignment="1">
      <alignment vertical="center"/>
    </xf>
    <xf numFmtId="0" fontId="0" fillId="0" borderId="2" xfId="0" applyBorder="1" applyAlignment="1">
      <alignment horizontal="center" vertical="center"/>
    </xf>
    <xf numFmtId="0" fontId="0" fillId="0" borderId="2" xfId="0" applyBorder="1" applyAlignment="1">
      <alignment vertical="center"/>
    </xf>
    <xf numFmtId="165" fontId="0" fillId="0" borderId="54" xfId="0" applyNumberFormat="1" applyBorder="1" applyAlignment="1">
      <alignment vertical="center"/>
    </xf>
    <xf numFmtId="0" fontId="8" fillId="0" borderId="55" xfId="0" applyFont="1" applyBorder="1" applyAlignment="1">
      <alignment vertical="center"/>
    </xf>
    <xf numFmtId="0" fontId="0" fillId="0" borderId="55" xfId="0" applyBorder="1" applyAlignment="1">
      <alignment horizontal="center" vertical="center"/>
    </xf>
    <xf numFmtId="0" fontId="0" fillId="0" borderId="55" xfId="0" applyBorder="1" applyAlignment="1">
      <alignment vertical="center"/>
    </xf>
    <xf numFmtId="164" fontId="0" fillId="0" borderId="56" xfId="0" applyNumberFormat="1" applyBorder="1" applyAlignment="1">
      <alignment vertical="center"/>
    </xf>
    <xf numFmtId="166" fontId="23" fillId="10" borderId="0" xfId="0" applyNumberFormat="1" applyFont="1" applyFill="1" applyAlignment="1">
      <alignment horizontal="center"/>
    </xf>
    <xf numFmtId="0" fontId="8" fillId="0" borderId="2" xfId="0" applyFont="1" applyBorder="1"/>
    <xf numFmtId="164" fontId="0" fillId="0" borderId="2" xfId="0" applyNumberFormat="1" applyBorder="1"/>
    <xf numFmtId="0" fontId="6" fillId="9" borderId="0" xfId="0" applyFont="1" applyFill="1" applyAlignment="1">
      <alignment horizontal="center" wrapText="1"/>
    </xf>
    <xf numFmtId="0" fontId="6" fillId="9" borderId="0" xfId="0" applyFont="1" applyFill="1" applyAlignment="1">
      <alignment horizontal="left" wrapText="1"/>
    </xf>
    <xf numFmtId="164" fontId="8" fillId="0" borderId="0" xfId="2" applyNumberFormat="1"/>
    <xf numFmtId="0" fontId="6" fillId="0" borderId="0" xfId="0" applyFont="1"/>
    <xf numFmtId="0" fontId="8" fillId="0" borderId="0" xfId="0" applyFont="1"/>
    <xf numFmtId="0" fontId="33" fillId="10" borderId="0" xfId="0" applyFont="1" applyFill="1" applyBorder="1" applyAlignment="1">
      <alignment vertical="center"/>
    </xf>
    <xf numFmtId="0" fontId="33" fillId="0" borderId="2" xfId="0" applyFont="1" applyBorder="1"/>
    <xf numFmtId="0" fontId="33" fillId="0" borderId="0" xfId="0" applyFont="1"/>
    <xf numFmtId="0" fontId="26" fillId="0" borderId="0" xfId="0" applyFont="1" applyAlignment="1">
      <alignment vertical="top" wrapText="1"/>
    </xf>
    <xf numFmtId="0" fontId="3" fillId="0" borderId="0" xfId="0" applyFont="1" applyFill="1" applyBorder="1" applyAlignment="1">
      <alignment horizontal="center" vertical="center"/>
    </xf>
    <xf numFmtId="0" fontId="26" fillId="0" borderId="0" xfId="0" applyFont="1" applyAlignment="1">
      <alignment horizontal="left" vertical="top" wrapText="1"/>
    </xf>
    <xf numFmtId="0" fontId="18" fillId="0" borderId="0" xfId="0" applyFont="1" applyFill="1" applyBorder="1"/>
    <xf numFmtId="0" fontId="0" fillId="0" borderId="13" xfId="0" applyFill="1" applyBorder="1" applyAlignment="1" applyProtection="1">
      <alignment horizontal="center"/>
      <protection hidden="1"/>
    </xf>
    <xf numFmtId="0" fontId="7" fillId="0" borderId="14" xfId="0" applyFont="1" applyFill="1" applyBorder="1" applyAlignment="1" applyProtection="1">
      <alignment horizontal="center"/>
      <protection hidden="1"/>
    </xf>
    <xf numFmtId="0" fontId="0" fillId="0" borderId="13" xfId="0" applyBorder="1" applyProtection="1">
      <protection hidden="1"/>
    </xf>
    <xf numFmtId="0" fontId="0" fillId="0" borderId="0" xfId="0" applyBorder="1" applyProtection="1">
      <protection hidden="1"/>
    </xf>
    <xf numFmtId="0" fontId="0" fillId="0" borderId="14" xfId="0" applyBorder="1" applyProtection="1">
      <protection hidden="1"/>
    </xf>
    <xf numFmtId="0" fontId="0" fillId="0" borderId="0" xfId="0" applyFill="1" applyProtection="1">
      <protection hidden="1"/>
    </xf>
    <xf numFmtId="0" fontId="0" fillId="0" borderId="0" xfId="0" applyProtection="1">
      <protection hidden="1"/>
    </xf>
    <xf numFmtId="0" fontId="27" fillId="0" borderId="0" xfId="0" applyFont="1" applyBorder="1" applyProtection="1">
      <protection hidden="1"/>
    </xf>
    <xf numFmtId="0" fontId="0" fillId="0" borderId="0" xfId="0" applyFill="1" applyBorder="1" applyProtection="1">
      <protection hidden="1"/>
    </xf>
    <xf numFmtId="0" fontId="7" fillId="0" borderId="13" xfId="1" applyFont="1" applyBorder="1" applyAlignment="1" applyProtection="1">
      <alignment vertical="center" wrapText="1"/>
      <protection hidden="1"/>
    </xf>
    <xf numFmtId="0" fontId="7" fillId="0" borderId="0" xfId="1" applyFont="1" applyBorder="1" applyAlignment="1" applyProtection="1">
      <alignment vertical="center" wrapText="1"/>
      <protection hidden="1"/>
    </xf>
    <xf numFmtId="0" fontId="13" fillId="0" borderId="13" xfId="0" applyFont="1" applyBorder="1" applyProtection="1">
      <protection hidden="1"/>
    </xf>
    <xf numFmtId="0" fontId="0" fillId="0" borderId="11" xfId="0" applyBorder="1" applyProtection="1">
      <protection hidden="1"/>
    </xf>
    <xf numFmtId="0" fontId="13" fillId="0" borderId="0" xfId="0" applyFont="1" applyBorder="1" applyAlignment="1" applyProtection="1">
      <alignment horizontal="right"/>
      <protection hidden="1"/>
    </xf>
    <xf numFmtId="0" fontId="8" fillId="0" borderId="0" xfId="0" applyFont="1" applyBorder="1" applyAlignment="1" applyProtection="1">
      <alignment horizontal="right"/>
      <protection hidden="1"/>
    </xf>
    <xf numFmtId="0" fontId="13" fillId="0" borderId="0" xfId="0" applyFont="1" applyBorder="1" applyAlignment="1" applyProtection="1">
      <protection hidden="1"/>
    </xf>
    <xf numFmtId="0" fontId="0" fillId="0" borderId="12" xfId="0" applyBorder="1" applyProtection="1">
      <protection hidden="1"/>
    </xf>
    <xf numFmtId="0" fontId="26" fillId="0" borderId="14" xfId="0" applyFont="1" applyBorder="1" applyAlignment="1" applyProtection="1">
      <alignment horizontal="right"/>
      <protection hidden="1"/>
    </xf>
    <xf numFmtId="0" fontId="17" fillId="0" borderId="0" xfId="0" applyFont="1" applyFill="1" applyProtection="1">
      <protection hidden="1"/>
    </xf>
    <xf numFmtId="0" fontId="16" fillId="0" borderId="0" xfId="0" applyFont="1" applyBorder="1" applyProtection="1">
      <protection hidden="1"/>
    </xf>
    <xf numFmtId="0" fontId="10" fillId="0" borderId="0" xfId="0" applyFont="1" applyBorder="1" applyProtection="1">
      <protection hidden="1"/>
    </xf>
    <xf numFmtId="0" fontId="12" fillId="0" borderId="13" xfId="0" applyFont="1" applyBorder="1" applyProtection="1">
      <protection hidden="1"/>
    </xf>
    <xf numFmtId="0" fontId="12" fillId="0" borderId="0" xfId="0" applyFont="1" applyBorder="1" applyProtection="1">
      <protection hidden="1"/>
    </xf>
    <xf numFmtId="0" fontId="12" fillId="0" borderId="10" xfId="0" applyFont="1" applyBorder="1" applyProtection="1">
      <protection hidden="1"/>
    </xf>
    <xf numFmtId="0" fontId="12" fillId="0" borderId="0" xfId="0" applyFont="1" applyFill="1" applyBorder="1" applyProtection="1">
      <protection hidden="1"/>
    </xf>
    <xf numFmtId="0" fontId="0" fillId="0" borderId="14" xfId="0" applyFill="1" applyBorder="1" applyAlignment="1" applyProtection="1">
      <alignment horizontal="center"/>
      <protection hidden="1"/>
    </xf>
    <xf numFmtId="0" fontId="0" fillId="0" borderId="0" xfId="0" applyBorder="1" applyAlignment="1" applyProtection="1">
      <alignment horizontal="left"/>
      <protection hidden="1"/>
    </xf>
    <xf numFmtId="0" fontId="0" fillId="0" borderId="14" xfId="0" applyBorder="1" applyAlignment="1" applyProtection="1">
      <alignment horizontal="left"/>
      <protection hidden="1"/>
    </xf>
    <xf numFmtId="0" fontId="0" fillId="0" borderId="0" xfId="0" applyFill="1" applyBorder="1" applyAlignment="1" applyProtection="1">
      <alignment horizontal="left"/>
      <protection hidden="1"/>
    </xf>
    <xf numFmtId="0" fontId="12" fillId="0" borderId="0" xfId="0" applyFont="1" applyProtection="1">
      <protection hidden="1"/>
    </xf>
    <xf numFmtId="0" fontId="8" fillId="0" borderId="13" xfId="0" applyFont="1" applyBorder="1" applyProtection="1">
      <protection hidden="1"/>
    </xf>
    <xf numFmtId="0" fontId="14" fillId="0" borderId="0" xfId="0" applyFont="1" applyFill="1" applyBorder="1" applyAlignment="1" applyProtection="1">
      <alignment horizontal="left" vertical="top" wrapText="1"/>
      <protection hidden="1"/>
    </xf>
    <xf numFmtId="0" fontId="8" fillId="0" borderId="0" xfId="0" applyFont="1" applyBorder="1" applyProtection="1">
      <protection hidden="1"/>
    </xf>
    <xf numFmtId="0" fontId="18" fillId="0" borderId="13" xfId="0" applyFont="1" applyFill="1" applyBorder="1" applyAlignment="1" applyProtection="1">
      <alignment horizontal="left" vertical="top"/>
      <protection hidden="1"/>
    </xf>
    <xf numFmtId="0" fontId="19" fillId="0" borderId="13" xfId="0" applyFont="1" applyFill="1" applyBorder="1" applyAlignment="1" applyProtection="1">
      <alignment horizontal="left" vertical="center" wrapText="1"/>
      <protection hidden="1"/>
    </xf>
    <xf numFmtId="0" fontId="19" fillId="0" borderId="0" xfId="0" applyFont="1" applyFill="1" applyBorder="1" applyAlignment="1" applyProtection="1">
      <alignment horizontal="left" vertical="center" wrapText="1"/>
      <protection hidden="1"/>
    </xf>
    <xf numFmtId="0" fontId="8" fillId="0" borderId="36" xfId="0" applyFont="1" applyBorder="1" applyProtection="1">
      <protection hidden="1"/>
    </xf>
    <xf numFmtId="0" fontId="16" fillId="0" borderId="11" xfId="0" applyFont="1" applyFill="1" applyBorder="1" applyProtection="1">
      <protection hidden="1"/>
    </xf>
    <xf numFmtId="0" fontId="16" fillId="0" borderId="0" xfId="0" applyFont="1" applyFill="1" applyBorder="1" applyProtection="1">
      <protection hidden="1"/>
    </xf>
    <xf numFmtId="0" fontId="17" fillId="0" borderId="0" xfId="0" applyFont="1" applyFill="1" applyBorder="1" applyProtection="1">
      <protection hidden="1"/>
    </xf>
    <xf numFmtId="0" fontId="8" fillId="0" borderId="0" xfId="0" applyFont="1" applyBorder="1" applyAlignment="1" applyProtection="1">
      <protection hidden="1"/>
    </xf>
    <xf numFmtId="0" fontId="14" fillId="0" borderId="0" xfId="0" applyFont="1" applyFill="1" applyBorder="1" applyAlignment="1" applyProtection="1">
      <alignment horizontal="left" vertical="center" wrapText="1"/>
      <protection hidden="1"/>
    </xf>
    <xf numFmtId="0" fontId="4" fillId="0" borderId="13"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8" fillId="0" borderId="10" xfId="0" applyFont="1" applyBorder="1" applyProtection="1">
      <protection hidden="1"/>
    </xf>
    <xf numFmtId="0" fontId="3" fillId="0" borderId="0" xfId="0" applyFont="1" applyFill="1" applyBorder="1" applyProtection="1">
      <protection hidden="1"/>
    </xf>
    <xf numFmtId="0" fontId="3" fillId="0" borderId="0" xfId="0" applyFont="1" applyFill="1" applyProtection="1">
      <protection hidden="1"/>
    </xf>
    <xf numFmtId="0" fontId="3" fillId="0" borderId="0" xfId="0" applyFont="1" applyFill="1" applyBorder="1" applyAlignment="1" applyProtection="1">
      <alignment horizontal="center" vertical="center"/>
      <protection hidden="1"/>
    </xf>
    <xf numFmtId="0" fontId="8" fillId="0" borderId="0" xfId="0" applyFont="1" applyFill="1" applyBorder="1" applyAlignment="1">
      <alignment horizontal="center" vertical="center"/>
    </xf>
    <xf numFmtId="2" fontId="6" fillId="2" borderId="43" xfId="0" applyNumberFormat="1" applyFont="1" applyFill="1" applyBorder="1" applyAlignment="1" applyProtection="1">
      <alignment horizontal="center" vertical="center" wrapText="1"/>
      <protection hidden="1"/>
    </xf>
    <xf numFmtId="0" fontId="8" fillId="0" borderId="0" xfId="0" applyFont="1" applyFill="1" applyBorder="1" applyAlignment="1" applyProtection="1">
      <alignment horizontal="center" vertical="center"/>
      <protection hidden="1"/>
    </xf>
    <xf numFmtId="2" fontId="6" fillId="2" borderId="22" xfId="0" applyNumberFormat="1" applyFont="1" applyFill="1" applyBorder="1" applyAlignment="1" applyProtection="1">
      <alignment horizontal="center" vertical="center" wrapText="1"/>
      <protection hidden="1"/>
    </xf>
    <xf numFmtId="0" fontId="33" fillId="0" borderId="0" xfId="0" applyFont="1" applyFill="1" applyProtection="1">
      <protection hidden="1"/>
    </xf>
    <xf numFmtId="0" fontId="23" fillId="0" borderId="0" xfId="0" applyFont="1" applyFill="1" applyBorder="1" applyProtection="1">
      <protection hidden="1"/>
    </xf>
    <xf numFmtId="0" fontId="36" fillId="2" borderId="22" xfId="0" applyFont="1" applyFill="1" applyBorder="1" applyAlignment="1">
      <alignment horizontal="center" vertical="center"/>
    </xf>
    <xf numFmtId="0" fontId="36" fillId="2" borderId="22" xfId="0" applyFont="1" applyFill="1" applyBorder="1" applyAlignment="1">
      <alignment horizontal="center" vertical="center" wrapText="1"/>
    </xf>
    <xf numFmtId="0" fontId="8" fillId="0" borderId="0" xfId="0" applyFont="1" applyFill="1" applyBorder="1" applyProtection="1">
      <protection hidden="1"/>
    </xf>
    <xf numFmtId="164" fontId="6" fillId="2" borderId="44" xfId="0" applyNumberFormat="1" applyFont="1" applyFill="1" applyBorder="1" applyAlignment="1" applyProtection="1">
      <alignment horizontal="center" vertical="center" wrapText="1"/>
      <protection hidden="1"/>
    </xf>
    <xf numFmtId="164" fontId="6" fillId="2" borderId="45" xfId="0" applyNumberFormat="1" applyFont="1" applyFill="1" applyBorder="1" applyAlignment="1" applyProtection="1">
      <alignment horizontal="center" vertical="center" wrapText="1"/>
      <protection hidden="1"/>
    </xf>
    <xf numFmtId="0" fontId="36" fillId="2" borderId="22" xfId="0" applyFont="1" applyFill="1" applyBorder="1" applyAlignment="1" applyProtection="1">
      <alignment horizontal="center" vertical="center" wrapText="1"/>
      <protection hidden="1"/>
    </xf>
    <xf numFmtId="0" fontId="23" fillId="0" borderId="0" xfId="0" applyFont="1" applyFill="1" applyProtection="1">
      <protection hidden="1"/>
    </xf>
    <xf numFmtId="0" fontId="36" fillId="2" borderId="22" xfId="0" applyFont="1" applyFill="1" applyBorder="1" applyAlignment="1" applyProtection="1">
      <alignment horizontal="center" vertical="center"/>
      <protection hidden="1"/>
    </xf>
    <xf numFmtId="14" fontId="3" fillId="0" borderId="1" xfId="0" applyNumberFormat="1" applyFont="1" applyFill="1" applyBorder="1" applyAlignment="1" applyProtection="1">
      <alignment vertical="center"/>
      <protection locked="0"/>
    </xf>
    <xf numFmtId="0" fontId="3" fillId="0" borderId="2" xfId="0" applyFont="1" applyFill="1" applyBorder="1" applyAlignment="1" applyProtection="1">
      <alignment vertical="center"/>
      <protection locked="0"/>
    </xf>
    <xf numFmtId="0" fontId="3" fillId="0" borderId="5" xfId="0" applyFont="1" applyFill="1" applyBorder="1" applyAlignment="1" applyProtection="1">
      <alignment vertical="center"/>
      <protection locked="0"/>
    </xf>
    <xf numFmtId="0" fontId="3" fillId="0" borderId="1" xfId="0" applyFont="1" applyBorder="1" applyProtection="1">
      <protection locked="0"/>
    </xf>
    <xf numFmtId="0" fontId="3" fillId="0" borderId="4" xfId="0" applyFont="1" applyBorder="1" applyProtection="1">
      <protection locked="0"/>
    </xf>
    <xf numFmtId="0" fontId="34" fillId="0" borderId="0" xfId="0" applyFont="1" applyBorder="1" applyProtection="1">
      <protection hidden="1"/>
    </xf>
    <xf numFmtId="0" fontId="0" fillId="0" borderId="0" xfId="0" applyFont="1" applyBorder="1" applyProtection="1">
      <protection hidden="1"/>
    </xf>
    <xf numFmtId="0" fontId="0" fillId="0" borderId="14" xfId="0" applyFont="1" applyBorder="1" applyProtection="1">
      <protection hidden="1"/>
    </xf>
    <xf numFmtId="0" fontId="14" fillId="0" borderId="13" xfId="0" applyFont="1" applyBorder="1" applyProtection="1">
      <protection hidden="1"/>
    </xf>
    <xf numFmtId="0" fontId="3" fillId="6" borderId="2" xfId="0" applyFont="1" applyFill="1" applyBorder="1" applyAlignment="1" applyProtection="1">
      <alignment vertical="center"/>
      <protection locked="0"/>
    </xf>
    <xf numFmtId="0" fontId="3" fillId="6" borderId="5" xfId="0" applyFont="1" applyFill="1" applyBorder="1" applyAlignment="1" applyProtection="1">
      <alignment vertical="center"/>
      <protection locked="0"/>
    </xf>
    <xf numFmtId="167" fontId="3" fillId="0" borderId="0" xfId="0" applyNumberFormat="1" applyFont="1" applyFill="1" applyBorder="1" applyAlignment="1" applyProtection="1">
      <alignment vertical="center"/>
      <protection hidden="1"/>
    </xf>
    <xf numFmtId="167" fontId="3" fillId="0" borderId="0" xfId="0" applyNumberFormat="1" applyFont="1" applyFill="1" applyBorder="1" applyAlignment="1">
      <alignment vertical="center"/>
    </xf>
    <xf numFmtId="167" fontId="5" fillId="0" borderId="0" xfId="0" applyNumberFormat="1" applyFont="1" applyFill="1" applyBorder="1" applyAlignment="1">
      <alignment horizontal="right" vertical="center" wrapText="1"/>
    </xf>
    <xf numFmtId="167" fontId="6" fillId="0" borderId="0" xfId="0" applyNumberFormat="1" applyFont="1" applyFill="1" applyBorder="1" applyAlignment="1">
      <alignment horizontal="right" wrapText="1"/>
    </xf>
    <xf numFmtId="167" fontId="4" fillId="0" borderId="11" xfId="0" applyNumberFormat="1" applyFont="1" applyFill="1" applyBorder="1"/>
    <xf numFmtId="167" fontId="6" fillId="2" borderId="47" xfId="0" applyNumberFormat="1" applyFont="1" applyFill="1" applyBorder="1" applyAlignment="1" applyProtection="1">
      <alignment horizontal="center" vertical="center" wrapText="1"/>
      <protection hidden="1"/>
    </xf>
    <xf numFmtId="167" fontId="6" fillId="2" borderId="10" xfId="0" applyNumberFormat="1" applyFont="1" applyFill="1" applyBorder="1" applyAlignment="1" applyProtection="1">
      <alignment horizontal="center" vertical="center" wrapText="1"/>
      <protection hidden="1"/>
    </xf>
    <xf numFmtId="167" fontId="6" fillId="2" borderId="45" xfId="0" applyNumberFormat="1" applyFont="1" applyFill="1" applyBorder="1" applyAlignment="1" applyProtection="1">
      <alignment horizontal="center" vertical="center" wrapText="1"/>
      <protection hidden="1"/>
    </xf>
    <xf numFmtId="167" fontId="3" fillId="0" borderId="0" xfId="0" applyNumberFormat="1" applyFont="1" applyFill="1" applyBorder="1" applyProtection="1">
      <protection hidden="1"/>
    </xf>
    <xf numFmtId="167" fontId="3" fillId="0" borderId="0" xfId="0" applyNumberFormat="1" applyFont="1" applyFill="1" applyProtection="1">
      <protection hidden="1"/>
    </xf>
    <xf numFmtId="167" fontId="0" fillId="0" borderId="0" xfId="0" applyNumberFormat="1" applyProtection="1">
      <protection hidden="1"/>
    </xf>
    <xf numFmtId="167" fontId="6" fillId="2" borderId="43" xfId="0" applyNumberFormat="1" applyFont="1" applyFill="1" applyBorder="1" applyAlignment="1" applyProtection="1">
      <alignment horizontal="center" vertical="center" wrapText="1"/>
      <protection hidden="1"/>
    </xf>
    <xf numFmtId="167" fontId="5" fillId="0" borderId="0" xfId="0" applyNumberFormat="1" applyFont="1" applyFill="1" applyBorder="1" applyAlignment="1" applyProtection="1">
      <alignment horizontal="right" vertical="center" wrapText="1"/>
      <protection hidden="1"/>
    </xf>
    <xf numFmtId="167" fontId="6" fillId="0" borderId="0" xfId="0" applyNumberFormat="1" applyFont="1" applyFill="1" applyBorder="1" applyAlignment="1" applyProtection="1">
      <alignment horizontal="right" wrapText="1"/>
      <protection hidden="1"/>
    </xf>
    <xf numFmtId="167" fontId="4" fillId="0" borderId="11" xfId="0" applyNumberFormat="1" applyFont="1" applyFill="1" applyBorder="1" applyProtection="1">
      <protection hidden="1"/>
    </xf>
    <xf numFmtId="167" fontId="36" fillId="2" borderId="22" xfId="0" applyNumberFormat="1" applyFont="1" applyFill="1" applyBorder="1" applyAlignment="1" applyProtection="1">
      <alignment horizontal="center" vertical="center" wrapText="1"/>
      <protection hidden="1"/>
    </xf>
    <xf numFmtId="167" fontId="6" fillId="2" borderId="47" xfId="0" applyNumberFormat="1" applyFont="1" applyFill="1" applyBorder="1" applyAlignment="1" applyProtection="1">
      <alignment vertical="center" wrapText="1"/>
      <protection hidden="1"/>
    </xf>
    <xf numFmtId="167" fontId="6" fillId="2" borderId="45" xfId="0" applyNumberFormat="1" applyFont="1" applyFill="1" applyBorder="1" applyAlignment="1" applyProtection="1">
      <alignment vertical="center" wrapText="1"/>
      <protection hidden="1"/>
    </xf>
    <xf numFmtId="167" fontId="26" fillId="0" borderId="0" xfId="0" applyNumberFormat="1" applyFont="1" applyAlignment="1" applyProtection="1">
      <alignment horizontal="left" vertical="top" wrapText="1"/>
      <protection hidden="1"/>
    </xf>
    <xf numFmtId="167" fontId="4" fillId="0" borderId="0" xfId="0" applyNumberFormat="1" applyFont="1" applyFill="1" applyBorder="1" applyProtection="1">
      <protection hidden="1"/>
    </xf>
    <xf numFmtId="167" fontId="26" fillId="0" borderId="0" xfId="0" applyNumberFormat="1" applyFont="1" applyAlignment="1" applyProtection="1">
      <alignment vertical="top" wrapText="1"/>
      <protection hidden="1"/>
    </xf>
    <xf numFmtId="0" fontId="0" fillId="0" borderId="8" xfId="0" applyBorder="1"/>
    <xf numFmtId="0" fontId="0" fillId="0" borderId="9" xfId="0" applyBorder="1"/>
    <xf numFmtId="0" fontId="15" fillId="0" borderId="7" xfId="0" applyFont="1" applyBorder="1"/>
    <xf numFmtId="167" fontId="14" fillId="3" borderId="17" xfId="0" applyNumberFormat="1" applyFont="1" applyFill="1" applyBorder="1" applyProtection="1">
      <protection hidden="1"/>
    </xf>
    <xf numFmtId="167" fontId="14" fillId="2" borderId="22" xfId="0" applyNumberFormat="1" applyFont="1" applyFill="1" applyBorder="1" applyAlignment="1" applyProtection="1">
      <alignment horizontal="center" vertical="center" wrapText="1"/>
      <protection hidden="1"/>
    </xf>
    <xf numFmtId="167" fontId="8" fillId="3" borderId="62" xfId="0" applyNumberFormat="1" applyFont="1" applyFill="1" applyBorder="1" applyAlignment="1" applyProtection="1">
      <alignment vertical="center"/>
      <protection hidden="1"/>
    </xf>
    <xf numFmtId="167" fontId="8" fillId="3" borderId="1" xfId="0" applyNumberFormat="1" applyFont="1" applyFill="1" applyBorder="1" applyAlignment="1" applyProtection="1">
      <alignment vertical="center"/>
      <protection hidden="1"/>
    </xf>
    <xf numFmtId="167" fontId="8" fillId="3" borderId="4" xfId="0" applyNumberFormat="1" applyFont="1" applyFill="1" applyBorder="1" applyAlignment="1" applyProtection="1">
      <alignment vertical="center"/>
      <protection hidden="1"/>
    </xf>
    <xf numFmtId="167" fontId="8" fillId="13" borderId="70" xfId="0" applyNumberFormat="1" applyFont="1" applyFill="1" applyBorder="1" applyAlignment="1" applyProtection="1">
      <alignment vertical="center"/>
      <protection hidden="1"/>
    </xf>
    <xf numFmtId="167" fontId="8" fillId="13" borderId="71" xfId="0" applyNumberFormat="1" applyFont="1" applyFill="1" applyBorder="1" applyProtection="1">
      <protection hidden="1"/>
    </xf>
    <xf numFmtId="167" fontId="8" fillId="13" borderId="29" xfId="0" applyNumberFormat="1" applyFont="1" applyFill="1" applyBorder="1" applyAlignment="1" applyProtection="1">
      <alignment vertical="center"/>
      <protection hidden="1"/>
    </xf>
    <xf numFmtId="167" fontId="8" fillId="13" borderId="36" xfId="0" applyNumberFormat="1" applyFont="1" applyFill="1" applyBorder="1" applyProtection="1">
      <protection hidden="1"/>
    </xf>
    <xf numFmtId="167" fontId="8" fillId="13" borderId="60" xfId="0" applyNumberFormat="1" applyFont="1" applyFill="1" applyBorder="1" applyAlignment="1" applyProtection="1">
      <alignment vertical="center"/>
      <protection hidden="1"/>
    </xf>
    <xf numFmtId="167" fontId="8" fillId="13" borderId="64" xfId="0" applyNumberFormat="1" applyFont="1" applyFill="1" applyBorder="1" applyProtection="1">
      <protection hidden="1"/>
    </xf>
    <xf numFmtId="0" fontId="18" fillId="0" borderId="8" xfId="0" applyFont="1" applyFill="1" applyBorder="1" applyAlignment="1" applyProtection="1">
      <alignment horizontal="left" vertical="top" wrapText="1"/>
      <protection hidden="1"/>
    </xf>
    <xf numFmtId="0" fontId="27" fillId="13" borderId="0" xfId="0" applyFont="1" applyFill="1" applyBorder="1" applyProtection="1">
      <protection hidden="1"/>
    </xf>
    <xf numFmtId="0" fontId="7" fillId="13" borderId="13" xfId="0" applyFont="1" applyFill="1" applyBorder="1" applyProtection="1">
      <protection hidden="1"/>
    </xf>
    <xf numFmtId="0" fontId="7" fillId="13" borderId="0" xfId="0" applyFont="1" applyFill="1" applyBorder="1" applyProtection="1">
      <protection hidden="1"/>
    </xf>
    <xf numFmtId="0" fontId="40" fillId="13" borderId="0" xfId="0" applyFont="1" applyFill="1" applyProtection="1">
      <protection hidden="1"/>
    </xf>
    <xf numFmtId="0" fontId="41" fillId="11" borderId="8" xfId="0" applyFont="1" applyFill="1" applyBorder="1" applyAlignment="1" applyProtection="1">
      <alignment horizontal="left" vertical="top" wrapText="1"/>
      <protection hidden="1"/>
    </xf>
    <xf numFmtId="0" fontId="41" fillId="0" borderId="0" xfId="0" applyFont="1" applyFill="1" applyProtection="1">
      <protection hidden="1"/>
    </xf>
    <xf numFmtId="0" fontId="41" fillId="11" borderId="8" xfId="0" applyFont="1" applyFill="1" applyBorder="1" applyProtection="1">
      <protection hidden="1"/>
    </xf>
    <xf numFmtId="0" fontId="30" fillId="11" borderId="8" xfId="0" applyFont="1" applyFill="1" applyBorder="1" applyProtection="1">
      <protection hidden="1"/>
    </xf>
    <xf numFmtId="0" fontId="30" fillId="11" borderId="9" xfId="0" applyFont="1" applyFill="1" applyBorder="1" applyProtection="1">
      <protection hidden="1"/>
    </xf>
    <xf numFmtId="0" fontId="40" fillId="0" borderId="0" xfId="0" applyFont="1" applyFill="1" applyProtection="1">
      <protection hidden="1"/>
    </xf>
    <xf numFmtId="0" fontId="41" fillId="11" borderId="9" xfId="0" applyFont="1" applyFill="1" applyBorder="1" applyAlignment="1" applyProtection="1">
      <alignment horizontal="left" vertical="top" wrapText="1"/>
      <protection hidden="1"/>
    </xf>
    <xf numFmtId="0" fontId="41" fillId="0" borderId="0" xfId="0" applyFont="1" applyFill="1" applyBorder="1" applyProtection="1">
      <protection hidden="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protection hidden="1"/>
    </xf>
    <xf numFmtId="0" fontId="41" fillId="0" borderId="0" xfId="0" applyNumberFormat="1" applyFont="1" applyFill="1" applyBorder="1" applyProtection="1">
      <protection hidden="1"/>
    </xf>
    <xf numFmtId="0" fontId="7" fillId="0" borderId="13" xfId="0" applyFont="1" applyFill="1" applyBorder="1" applyProtection="1">
      <protection hidden="1"/>
    </xf>
    <xf numFmtId="0" fontId="40" fillId="0" borderId="0" xfId="0" applyFont="1" applyFill="1" applyBorder="1" applyAlignment="1" applyProtection="1">
      <alignment horizontal="left" vertical="top" wrapText="1"/>
      <protection hidden="1"/>
    </xf>
    <xf numFmtId="5" fontId="3" fillId="0" borderId="0" xfId="0" applyNumberFormat="1" applyFont="1" applyFill="1" applyBorder="1" applyAlignment="1" applyProtection="1">
      <alignment vertical="center"/>
      <protection hidden="1"/>
    </xf>
    <xf numFmtId="0" fontId="0" fillId="0" borderId="7" xfId="0" applyBorder="1"/>
    <xf numFmtId="0" fontId="11" fillId="0" borderId="13" xfId="1" applyFont="1" applyFill="1" applyBorder="1" applyAlignment="1" applyProtection="1">
      <alignment horizontal="center" vertical="center" wrapText="1"/>
      <protection hidden="1"/>
    </xf>
    <xf numFmtId="0" fontId="11" fillId="0" borderId="0" xfId="1" applyFont="1" applyFill="1" applyBorder="1" applyAlignment="1" applyProtection="1">
      <alignment horizontal="center" vertical="center" wrapText="1"/>
      <protection hidden="1"/>
    </xf>
    <xf numFmtId="0" fontId="11" fillId="0" borderId="14" xfId="1" applyFont="1" applyFill="1" applyBorder="1" applyAlignment="1" applyProtection="1">
      <alignment horizontal="center" vertical="center" wrapText="1"/>
      <protection hidden="1"/>
    </xf>
    <xf numFmtId="0" fontId="25" fillId="14" borderId="0" xfId="1" applyFont="1" applyFill="1" applyBorder="1" applyAlignment="1">
      <alignment vertical="top" wrapText="1"/>
    </xf>
    <xf numFmtId="0" fontId="0" fillId="0" borderId="4" xfId="0" applyBorder="1"/>
    <xf numFmtId="0" fontId="32" fillId="0" borderId="0" xfId="0" applyFont="1" applyBorder="1"/>
    <xf numFmtId="0" fontId="18" fillId="0" borderId="0" xfId="0" applyFont="1" applyFill="1" applyBorder="1" applyAlignment="1">
      <alignment vertical="top"/>
    </xf>
    <xf numFmtId="0" fontId="27" fillId="0" borderId="0" xfId="0" applyFont="1" applyFill="1" applyProtection="1">
      <protection hidden="1"/>
    </xf>
    <xf numFmtId="0" fontId="28" fillId="0" borderId="0" xfId="0" applyFont="1" applyFill="1" applyProtection="1">
      <protection hidden="1"/>
    </xf>
    <xf numFmtId="0" fontId="27" fillId="13" borderId="0" xfId="0" applyFont="1" applyFill="1" applyProtection="1">
      <protection hidden="1"/>
    </xf>
    <xf numFmtId="0" fontId="28" fillId="13" borderId="0" xfId="0" applyFont="1" applyFill="1" applyProtection="1">
      <protection hidden="1"/>
    </xf>
    <xf numFmtId="0" fontId="30" fillId="0" borderId="0" xfId="0" applyFont="1" applyFill="1" applyProtection="1">
      <protection hidden="1"/>
    </xf>
    <xf numFmtId="0" fontId="0" fillId="0" borderId="0" xfId="0" applyFont="1" applyFill="1" applyProtection="1">
      <protection hidden="1"/>
    </xf>
    <xf numFmtId="0" fontId="33" fillId="0" borderId="0" xfId="0" applyFont="1" applyFill="1" applyAlignment="1" applyProtection="1">
      <alignment horizontal="center"/>
      <protection hidden="1"/>
    </xf>
    <xf numFmtId="0" fontId="39" fillId="13" borderId="13" xfId="1" applyFont="1" applyFill="1" applyBorder="1" applyAlignment="1" applyProtection="1">
      <alignment horizontal="center" vertical="center" wrapText="1"/>
      <protection hidden="1"/>
    </xf>
    <xf numFmtId="0" fontId="39" fillId="13" borderId="0" xfId="1" applyFont="1" applyFill="1" applyBorder="1" applyAlignment="1" applyProtection="1">
      <alignment horizontal="center" vertical="center" wrapText="1"/>
      <protection hidden="1"/>
    </xf>
    <xf numFmtId="0" fontId="39" fillId="13" borderId="14" xfId="1" applyFont="1" applyFill="1" applyBorder="1" applyAlignment="1" applyProtection="1">
      <alignment horizontal="center" vertical="center" wrapText="1"/>
      <protection hidden="1"/>
    </xf>
    <xf numFmtId="14" fontId="3" fillId="0" borderId="4" xfId="0" applyNumberFormat="1" applyFont="1" applyFill="1" applyBorder="1" applyAlignment="1" applyProtection="1">
      <alignment vertical="center"/>
      <protection locked="0"/>
    </xf>
    <xf numFmtId="0" fontId="43" fillId="0" borderId="0" xfId="0" applyFont="1" applyFill="1" applyProtection="1">
      <protection hidden="1"/>
    </xf>
    <xf numFmtId="0" fontId="44" fillId="0" borderId="0" xfId="0" applyFont="1" applyFill="1" applyProtection="1">
      <protection hidden="1"/>
    </xf>
    <xf numFmtId="0" fontId="31" fillId="0" borderId="0" xfId="0" applyFont="1" applyFill="1" applyProtection="1">
      <protection hidden="1"/>
    </xf>
    <xf numFmtId="0" fontId="43" fillId="0" borderId="0" xfId="0" applyFont="1" applyFill="1" applyBorder="1" applyProtection="1">
      <protection hidden="1"/>
    </xf>
    <xf numFmtId="0" fontId="30" fillId="0" borderId="13" xfId="0" applyFont="1" applyFill="1" applyBorder="1" applyProtection="1">
      <protection hidden="1"/>
    </xf>
    <xf numFmtId="0" fontId="30" fillId="0" borderId="0" xfId="0" applyFont="1" applyFill="1" applyBorder="1" applyProtection="1">
      <protection hidden="1"/>
    </xf>
    <xf numFmtId="0" fontId="30" fillId="0" borderId="0" xfId="0" applyFont="1" applyFill="1" applyBorder="1" applyAlignment="1" applyProtection="1">
      <alignment horizontal="right"/>
      <protection hidden="1"/>
    </xf>
    <xf numFmtId="0" fontId="30" fillId="0" borderId="14" xfId="0" applyFont="1" applyFill="1" applyBorder="1" applyAlignment="1" applyProtection="1">
      <alignment horizontal="right"/>
      <protection hidden="1"/>
    </xf>
    <xf numFmtId="167" fontId="6" fillId="0" borderId="8" xfId="0" applyNumberFormat="1" applyFont="1" applyFill="1" applyBorder="1" applyAlignment="1" applyProtection="1">
      <alignment vertical="center" wrapText="1"/>
      <protection hidden="1"/>
    </xf>
    <xf numFmtId="167" fontId="6" fillId="0" borderId="7" xfId="0" applyNumberFormat="1" applyFont="1" applyFill="1" applyBorder="1" applyAlignment="1" applyProtection="1">
      <alignment vertical="center" wrapText="1"/>
      <protection hidden="1"/>
    </xf>
    <xf numFmtId="0" fontId="7" fillId="0" borderId="0" xfId="0" applyFont="1" applyFill="1" applyBorder="1" applyProtection="1">
      <protection hidden="1"/>
    </xf>
    <xf numFmtId="0" fontId="30" fillId="11" borderId="19" xfId="0" applyFont="1" applyFill="1" applyBorder="1" applyProtection="1">
      <protection hidden="1"/>
    </xf>
    <xf numFmtId="0" fontId="30" fillId="11" borderId="20" xfId="0" applyFont="1" applyFill="1" applyBorder="1" applyProtection="1">
      <protection hidden="1"/>
    </xf>
    <xf numFmtId="0" fontId="44" fillId="0" borderId="0" xfId="0" applyFont="1" applyFill="1" applyBorder="1" applyProtection="1">
      <protection hidden="1"/>
    </xf>
    <xf numFmtId="5" fontId="14" fillId="0" borderId="20" xfId="0" applyNumberFormat="1" applyFont="1" applyFill="1" applyBorder="1" applyAlignment="1" applyProtection="1">
      <alignment horizontal="right" vertical="center"/>
      <protection hidden="1"/>
    </xf>
    <xf numFmtId="0" fontId="30" fillId="0" borderId="0" xfId="0" applyFont="1" applyFill="1" applyBorder="1" applyAlignment="1" applyProtection="1">
      <alignment vertical="center" wrapText="1"/>
      <protection hidden="1"/>
    </xf>
    <xf numFmtId="0" fontId="7" fillId="0" borderId="0" xfId="0" applyFont="1" applyFill="1" applyBorder="1" applyAlignment="1" applyProtection="1">
      <alignment horizontal="right"/>
      <protection hidden="1"/>
    </xf>
    <xf numFmtId="0" fontId="3" fillId="0" borderId="26" xfId="0" applyFont="1" applyBorder="1" applyAlignment="1" applyProtection="1">
      <protection locked="0"/>
    </xf>
    <xf numFmtId="0" fontId="3" fillId="0" borderId="28" xfId="0" applyFont="1" applyBorder="1" applyAlignment="1" applyProtection="1">
      <protection locked="0"/>
    </xf>
    <xf numFmtId="0" fontId="3" fillId="0" borderId="27" xfId="0" applyFont="1" applyBorder="1" applyAlignment="1" applyProtection="1">
      <protection locked="0"/>
    </xf>
    <xf numFmtId="0" fontId="36" fillId="2" borderId="19" xfId="0" applyFont="1" applyFill="1" applyBorder="1" applyAlignment="1" applyProtection="1">
      <alignment horizontal="center" vertical="center"/>
      <protection hidden="1"/>
    </xf>
    <xf numFmtId="0" fontId="30" fillId="0" borderId="7" xfId="0" applyFont="1" applyFill="1" applyBorder="1" applyProtection="1">
      <protection hidden="1"/>
    </xf>
    <xf numFmtId="0" fontId="30" fillId="0" borderId="8" xfId="0" applyFont="1" applyFill="1" applyBorder="1" applyProtection="1">
      <protection hidden="1"/>
    </xf>
    <xf numFmtId="0" fontId="30" fillId="0" borderId="8" xfId="0" applyFont="1" applyFill="1" applyBorder="1" applyAlignment="1" applyProtection="1">
      <alignment horizontal="right"/>
      <protection hidden="1"/>
    </xf>
    <xf numFmtId="0" fontId="30" fillId="0" borderId="9" xfId="0" applyFont="1" applyFill="1" applyBorder="1" applyAlignment="1" applyProtection="1">
      <alignment horizontal="right"/>
      <protection hidden="1"/>
    </xf>
    <xf numFmtId="5" fontId="14" fillId="0" borderId="21" xfId="0" applyNumberFormat="1" applyFont="1" applyFill="1" applyBorder="1" applyAlignment="1" applyProtection="1">
      <alignment horizontal="right" vertical="center"/>
      <protection hidden="1"/>
    </xf>
    <xf numFmtId="0" fontId="30" fillId="0" borderId="10" xfId="0" applyFont="1" applyFill="1" applyBorder="1" applyAlignment="1" applyProtection="1">
      <alignment vertical="center" wrapText="1"/>
      <protection hidden="1"/>
    </xf>
    <xf numFmtId="0" fontId="30" fillId="0" borderId="11" xfId="0" applyFont="1" applyFill="1" applyBorder="1" applyAlignment="1" applyProtection="1">
      <alignment vertical="center" wrapText="1"/>
      <protection hidden="1"/>
    </xf>
    <xf numFmtId="0" fontId="7" fillId="0" borderId="11" xfId="0" applyFont="1" applyFill="1" applyBorder="1" applyAlignment="1" applyProtection="1">
      <alignment horizontal="right"/>
      <protection hidden="1"/>
    </xf>
    <xf numFmtId="0" fontId="7" fillId="0" borderId="12" xfId="0" applyFont="1" applyFill="1" applyBorder="1" applyAlignment="1" applyProtection="1">
      <alignment horizontal="right"/>
      <protection hidden="1"/>
    </xf>
    <xf numFmtId="0" fontId="30" fillId="0" borderId="10" xfId="0" applyFont="1" applyFill="1" applyBorder="1" applyAlignment="1" applyProtection="1">
      <alignment horizontal="left" vertical="center" wrapText="1"/>
      <protection hidden="1"/>
    </xf>
    <xf numFmtId="0" fontId="30" fillId="0" borderId="11" xfId="0" applyFont="1" applyFill="1" applyBorder="1" applyAlignment="1" applyProtection="1">
      <alignment horizontal="left" vertical="center" wrapText="1"/>
      <protection hidden="1"/>
    </xf>
    <xf numFmtId="5" fontId="14" fillId="0" borderId="11" xfId="0" applyNumberFormat="1" applyFont="1" applyFill="1" applyBorder="1" applyAlignment="1" applyProtection="1">
      <alignment horizontal="right" vertical="center"/>
      <protection hidden="1"/>
    </xf>
    <xf numFmtId="5" fontId="14" fillId="0" borderId="12" xfId="0" applyNumberFormat="1" applyFont="1" applyFill="1" applyBorder="1" applyAlignment="1" applyProtection="1">
      <alignment horizontal="right" vertical="center"/>
      <protection hidden="1"/>
    </xf>
    <xf numFmtId="1" fontId="33" fillId="0" borderId="0" xfId="0" applyNumberFormat="1" applyFont="1"/>
    <xf numFmtId="167" fontId="14" fillId="3" borderId="65" xfId="0" applyNumberFormat="1" applyFont="1" applyFill="1" applyBorder="1" applyProtection="1">
      <protection hidden="1"/>
    </xf>
    <xf numFmtId="5" fontId="14" fillId="0" borderId="0" xfId="0" applyNumberFormat="1" applyFont="1" applyFill="1" applyBorder="1" applyAlignment="1" applyProtection="1">
      <alignment horizontal="right" vertical="center"/>
      <protection hidden="1"/>
    </xf>
    <xf numFmtId="0" fontId="30" fillId="0" borderId="0" xfId="0" applyFont="1" applyFill="1" applyBorder="1" applyAlignment="1" applyProtection="1">
      <alignment horizontal="left" vertical="center" wrapText="1"/>
      <protection hidden="1"/>
    </xf>
    <xf numFmtId="5" fontId="5" fillId="0" borderId="0" xfId="0" applyNumberFormat="1" applyFont="1" applyFill="1" applyBorder="1" applyAlignment="1" applyProtection="1">
      <alignment horizontal="center" vertical="top" wrapText="1"/>
      <protection hidden="1"/>
    </xf>
    <xf numFmtId="5" fontId="14" fillId="0" borderId="0" xfId="0" applyNumberFormat="1" applyFont="1" applyFill="1" applyBorder="1" applyAlignment="1" applyProtection="1">
      <alignment vertical="center"/>
      <protection hidden="1"/>
    </xf>
    <xf numFmtId="0" fontId="18" fillId="0" borderId="10" xfId="0" applyFont="1" applyFill="1" applyBorder="1" applyAlignment="1">
      <alignment vertical="top"/>
    </xf>
    <xf numFmtId="0" fontId="41" fillId="0" borderId="76" xfId="0" applyFont="1" applyFill="1" applyBorder="1" applyProtection="1">
      <protection hidden="1"/>
    </xf>
    <xf numFmtId="14" fontId="3" fillId="0" borderId="68" xfId="0" applyNumberFormat="1" applyFont="1" applyBorder="1" applyProtection="1">
      <protection locked="0"/>
    </xf>
    <xf numFmtId="14" fontId="3" fillId="0" borderId="37" xfId="0" applyNumberFormat="1" applyFont="1" applyBorder="1" applyProtection="1">
      <protection locked="0"/>
    </xf>
    <xf numFmtId="14" fontId="3" fillId="0" borderId="74" xfId="0" applyNumberFormat="1" applyFont="1" applyBorder="1" applyProtection="1">
      <protection locked="0"/>
    </xf>
    <xf numFmtId="0" fontId="3" fillId="0" borderId="62" xfId="0" applyFont="1" applyBorder="1" applyProtection="1">
      <protection locked="0"/>
    </xf>
    <xf numFmtId="167" fontId="8" fillId="0" borderId="13" xfId="0" applyNumberFormat="1" applyFont="1" applyFill="1" applyBorder="1" applyAlignment="1" applyProtection="1">
      <alignment vertical="center"/>
      <protection hidden="1"/>
    </xf>
    <xf numFmtId="167" fontId="8" fillId="0" borderId="0" xfId="0" applyNumberFormat="1" applyFont="1" applyFill="1" applyBorder="1" applyAlignment="1" applyProtection="1">
      <alignment vertical="center"/>
      <protection hidden="1"/>
    </xf>
    <xf numFmtId="170" fontId="14" fillId="0" borderId="0" xfId="0" applyNumberFormat="1" applyFont="1" applyFill="1" applyBorder="1" applyAlignment="1" applyProtection="1">
      <protection hidden="1"/>
    </xf>
    <xf numFmtId="0" fontId="18" fillId="0" borderId="13" xfId="0" applyFont="1" applyFill="1" applyBorder="1" applyAlignment="1">
      <alignment vertical="top"/>
    </xf>
    <xf numFmtId="0" fontId="17" fillId="0" borderId="0" xfId="0" applyFont="1" applyProtection="1">
      <protection hidden="1"/>
    </xf>
    <xf numFmtId="167" fontId="6" fillId="2" borderId="22" xfId="0" applyNumberFormat="1" applyFont="1" applyFill="1" applyBorder="1" applyAlignment="1" applyProtection="1">
      <alignment horizontal="center" vertical="center" wrapText="1"/>
      <protection hidden="1"/>
    </xf>
    <xf numFmtId="0" fontId="0" fillId="0" borderId="13" xfId="0" applyBorder="1"/>
    <xf numFmtId="0" fontId="0" fillId="0" borderId="14" xfId="0" applyBorder="1"/>
    <xf numFmtId="5" fontId="8" fillId="4" borderId="1" xfId="0" applyNumberFormat="1" applyFont="1" applyFill="1" applyBorder="1" applyProtection="1">
      <protection locked="0"/>
    </xf>
    <xf numFmtId="0" fontId="3" fillId="6" borderId="1" xfId="0" applyFont="1" applyFill="1" applyBorder="1" applyProtection="1">
      <protection locked="0"/>
    </xf>
    <xf numFmtId="167" fontId="14" fillId="3" borderId="1" xfId="0" applyNumberFormat="1" applyFont="1" applyFill="1" applyBorder="1" applyProtection="1">
      <protection hidden="1"/>
    </xf>
    <xf numFmtId="167" fontId="3" fillId="15" borderId="1" xfId="0" applyNumberFormat="1" applyFont="1" applyFill="1" applyBorder="1" applyAlignment="1" applyProtection="1">
      <alignment vertical="center"/>
      <protection hidden="1"/>
    </xf>
    <xf numFmtId="0" fontId="8" fillId="4" borderId="26" xfId="0" applyFont="1" applyFill="1" applyBorder="1" applyAlignment="1" applyProtection="1">
      <alignment horizontal="center" vertical="center"/>
      <protection locked="0"/>
    </xf>
    <xf numFmtId="0" fontId="8" fillId="4" borderId="48" xfId="0" applyFont="1" applyFill="1" applyBorder="1" applyAlignment="1" applyProtection="1">
      <alignment horizontal="center" vertical="center"/>
      <protection locked="0"/>
    </xf>
    <xf numFmtId="167" fontId="14" fillId="2" borderId="22" xfId="0" applyNumberFormat="1" applyFont="1" applyFill="1" applyBorder="1" applyProtection="1">
      <protection hidden="1"/>
    </xf>
    <xf numFmtId="0" fontId="3" fillId="6" borderId="15" xfId="0" applyFont="1" applyFill="1" applyBorder="1" applyAlignment="1" applyProtection="1">
      <alignment vertical="center"/>
      <protection locked="0"/>
    </xf>
    <xf numFmtId="0" fontId="3" fillId="6" borderId="58" xfId="0" applyFont="1" applyFill="1" applyBorder="1" applyAlignment="1" applyProtection="1">
      <alignment vertical="center"/>
      <protection locked="0"/>
    </xf>
    <xf numFmtId="0" fontId="8" fillId="4" borderId="2"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3" fontId="8" fillId="4" borderId="33" xfId="0" applyNumberFormat="1" applyFont="1" applyFill="1" applyBorder="1" applyAlignment="1" applyProtection="1">
      <alignment horizontal="center" vertical="center"/>
      <protection locked="0"/>
    </xf>
    <xf numFmtId="3" fontId="8" fillId="4" borderId="26" xfId="0" applyNumberFormat="1" applyFont="1" applyFill="1" applyBorder="1" applyAlignment="1" applyProtection="1">
      <alignment horizontal="center" vertical="center"/>
      <protection locked="0"/>
    </xf>
    <xf numFmtId="3" fontId="8" fillId="4" borderId="48" xfId="0" applyNumberFormat="1" applyFont="1" applyFill="1" applyBorder="1" applyAlignment="1" applyProtection="1">
      <alignment horizontal="center" vertical="center"/>
      <protection locked="0"/>
    </xf>
    <xf numFmtId="0" fontId="8" fillId="4" borderId="33" xfId="0" applyFont="1" applyFill="1" applyBorder="1" applyAlignment="1" applyProtection="1">
      <alignment horizontal="center" vertical="center"/>
      <protection locked="0"/>
    </xf>
    <xf numFmtId="0" fontId="8" fillId="4" borderId="26" xfId="0" applyNumberFormat="1" applyFont="1" applyFill="1" applyBorder="1" applyAlignment="1" applyProtection="1">
      <alignment horizontal="center" vertical="center"/>
      <protection locked="0"/>
    </xf>
    <xf numFmtId="0" fontId="8" fillId="4" borderId="2" xfId="0" applyNumberFormat="1" applyFont="1" applyFill="1" applyBorder="1" applyAlignment="1" applyProtection="1">
      <alignment horizontal="center" vertical="center"/>
      <protection locked="0"/>
    </xf>
    <xf numFmtId="0" fontId="8" fillId="4" borderId="48" xfId="0" applyNumberFormat="1" applyFont="1" applyFill="1" applyBorder="1" applyAlignment="1" applyProtection="1">
      <alignment horizontal="center" vertical="center"/>
      <protection locked="0"/>
    </xf>
    <xf numFmtId="0" fontId="8" fillId="4" borderId="5" xfId="0" applyNumberFormat="1" applyFont="1" applyFill="1" applyBorder="1" applyAlignment="1" applyProtection="1">
      <alignment horizontal="center" vertical="center"/>
      <protection locked="0"/>
    </xf>
    <xf numFmtId="14" fontId="3" fillId="0" borderId="1" xfId="0" applyNumberFormat="1" applyFont="1" applyFill="1" applyBorder="1" applyAlignment="1" applyProtection="1">
      <alignment horizontal="left" vertical="center"/>
      <protection locked="0"/>
    </xf>
    <xf numFmtId="0" fontId="3" fillId="0" borderId="2" xfId="0" applyFont="1" applyFill="1" applyBorder="1" applyAlignment="1" applyProtection="1">
      <alignment horizontal="left" vertical="center"/>
      <protection locked="0"/>
    </xf>
    <xf numFmtId="0" fontId="3" fillId="6" borderId="2" xfId="0" applyFont="1" applyFill="1" applyBorder="1" applyAlignment="1" applyProtection="1">
      <alignment horizontal="left" vertical="center"/>
      <protection locked="0"/>
    </xf>
    <xf numFmtId="0" fontId="3" fillId="0" borderId="5" xfId="0" applyFont="1" applyFill="1" applyBorder="1" applyAlignment="1" applyProtection="1">
      <alignment horizontal="left" vertical="center"/>
      <protection locked="0"/>
    </xf>
    <xf numFmtId="0" fontId="3" fillId="6" borderId="5" xfId="0" applyFont="1" applyFill="1" applyBorder="1" applyAlignment="1" applyProtection="1">
      <alignment horizontal="left" vertical="center"/>
      <protection locked="0"/>
    </xf>
    <xf numFmtId="5" fontId="3" fillId="0" borderId="0" xfId="0" applyNumberFormat="1" applyFont="1" applyFill="1" applyBorder="1" applyAlignment="1" applyProtection="1">
      <alignment horizontal="left" vertical="center"/>
      <protection hidden="1"/>
    </xf>
    <xf numFmtId="14" fontId="3" fillId="0" borderId="16" xfId="0" applyNumberFormat="1"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4" fontId="3" fillId="0" borderId="1" xfId="0" applyNumberFormat="1"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167" fontId="8" fillId="3" borderId="57" xfId="0" applyNumberFormat="1" applyFont="1" applyFill="1" applyBorder="1" applyAlignment="1" applyProtection="1">
      <alignment horizontal="left" vertical="center"/>
      <protection hidden="1"/>
    </xf>
    <xf numFmtId="167" fontId="8" fillId="3" borderId="2" xfId="0" applyNumberFormat="1" applyFont="1" applyFill="1" applyBorder="1" applyAlignment="1" applyProtection="1">
      <alignment horizontal="left" vertical="center"/>
      <protection hidden="1"/>
    </xf>
    <xf numFmtId="167" fontId="8" fillId="3" borderId="5" xfId="0" applyNumberFormat="1" applyFont="1" applyFill="1" applyBorder="1" applyAlignment="1" applyProtection="1">
      <alignment horizontal="left" vertical="center"/>
      <protection hidden="1"/>
    </xf>
    <xf numFmtId="167" fontId="3" fillId="0" borderId="0" xfId="0" applyNumberFormat="1" applyFont="1" applyFill="1" applyBorder="1" applyAlignment="1" applyProtection="1">
      <alignment horizontal="left" vertical="center"/>
      <protection hidden="1"/>
    </xf>
    <xf numFmtId="0" fontId="3" fillId="6" borderId="15" xfId="0" applyFont="1" applyFill="1" applyBorder="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14" fontId="3" fillId="0" borderId="4" xfId="0" applyNumberFormat="1" applyFont="1" applyBorder="1" applyAlignment="1" applyProtection="1">
      <alignment horizontal="left" vertical="center"/>
      <protection locked="0"/>
    </xf>
    <xf numFmtId="0" fontId="3" fillId="0" borderId="48" xfId="0" applyFont="1" applyBorder="1" applyAlignment="1" applyProtection="1">
      <alignment horizontal="left" vertical="center"/>
      <protection locked="0"/>
    </xf>
    <xf numFmtId="0" fontId="3" fillId="0" borderId="50" xfId="0" applyFont="1" applyBorder="1" applyAlignment="1" applyProtection="1">
      <alignment horizontal="left" vertical="center"/>
      <protection locked="0"/>
    </xf>
    <xf numFmtId="167" fontId="8" fillId="13" borderId="70" xfId="0" applyNumberFormat="1" applyFont="1" applyFill="1" applyBorder="1" applyAlignment="1" applyProtection="1">
      <alignment horizontal="left" vertical="center"/>
      <protection hidden="1"/>
    </xf>
    <xf numFmtId="167" fontId="8" fillId="13" borderId="71" xfId="0" applyNumberFormat="1" applyFont="1" applyFill="1" applyBorder="1" applyAlignment="1" applyProtection="1">
      <alignment horizontal="left" vertical="center"/>
      <protection hidden="1"/>
    </xf>
    <xf numFmtId="167" fontId="8" fillId="13" borderId="29" xfId="0" applyNumberFormat="1" applyFont="1" applyFill="1" applyBorder="1" applyAlignment="1" applyProtection="1">
      <alignment horizontal="left" vertical="center"/>
      <protection hidden="1"/>
    </xf>
    <xf numFmtId="167" fontId="8" fillId="13" borderId="36" xfId="0" applyNumberFormat="1" applyFont="1" applyFill="1" applyBorder="1" applyAlignment="1" applyProtection="1">
      <alignment horizontal="left" vertical="center"/>
      <protection hidden="1"/>
    </xf>
    <xf numFmtId="167" fontId="8" fillId="13" borderId="60" xfId="0" applyNumberFormat="1" applyFont="1" applyFill="1" applyBorder="1" applyAlignment="1" applyProtection="1">
      <alignment horizontal="left" vertical="center"/>
      <protection hidden="1"/>
    </xf>
    <xf numFmtId="167" fontId="8" fillId="13" borderId="64" xfId="0" applyNumberFormat="1" applyFont="1" applyFill="1" applyBorder="1" applyAlignment="1" applyProtection="1">
      <alignment horizontal="left" vertical="center"/>
      <protection hidden="1"/>
    </xf>
    <xf numFmtId="44" fontId="8" fillId="3" borderId="78" xfId="0" applyNumberFormat="1" applyFont="1" applyFill="1" applyBorder="1" applyAlignment="1">
      <alignment horizontal="left" vertical="center"/>
    </xf>
    <xf numFmtId="0" fontId="3" fillId="0" borderId="0" xfId="0" applyFont="1" applyFill="1" applyBorder="1" applyAlignment="1">
      <alignment horizontal="left" vertical="center"/>
    </xf>
    <xf numFmtId="43" fontId="8" fillId="3" borderId="1" xfId="3" applyNumberFormat="1" applyFont="1" applyFill="1" applyBorder="1" applyAlignment="1" applyProtection="1">
      <alignment horizontal="left" vertical="center"/>
      <protection hidden="1"/>
    </xf>
    <xf numFmtId="167" fontId="8" fillId="3" borderId="57" xfId="3" applyNumberFormat="1" applyFont="1" applyFill="1" applyBorder="1" applyAlignment="1" applyProtection="1">
      <alignment horizontal="left" vertical="center"/>
      <protection hidden="1"/>
    </xf>
    <xf numFmtId="167" fontId="8" fillId="3" borderId="15" xfId="3" applyNumberFormat="1" applyFont="1" applyFill="1" applyBorder="1" applyAlignment="1" applyProtection="1">
      <alignment horizontal="left" vertical="center"/>
      <protection hidden="1"/>
    </xf>
    <xf numFmtId="44" fontId="8" fillId="3" borderId="79" xfId="0" applyNumberFormat="1" applyFont="1" applyFill="1" applyBorder="1" applyAlignment="1">
      <alignment horizontal="left" vertical="center"/>
    </xf>
    <xf numFmtId="43" fontId="8" fillId="3" borderId="4" xfId="3" applyNumberFormat="1" applyFont="1" applyFill="1" applyBorder="1" applyAlignment="1" applyProtection="1">
      <alignment horizontal="left" vertical="center"/>
      <protection hidden="1"/>
    </xf>
    <xf numFmtId="167" fontId="8" fillId="3" borderId="58" xfId="3" applyNumberFormat="1" applyFont="1" applyFill="1" applyBorder="1" applyAlignment="1" applyProtection="1">
      <alignment horizontal="left" vertical="center"/>
      <protection hidden="1"/>
    </xf>
    <xf numFmtId="0" fontId="0" fillId="0" borderId="0" xfId="0" applyAlignment="1">
      <alignment horizontal="left" vertical="center"/>
    </xf>
    <xf numFmtId="0" fontId="3" fillId="0" borderId="0" xfId="0" applyNumberFormat="1" applyFont="1" applyFill="1" applyBorder="1" applyAlignment="1">
      <alignment horizontal="left" vertical="center"/>
    </xf>
    <xf numFmtId="164" fontId="3" fillId="0" borderId="0" xfId="0" applyNumberFormat="1" applyFont="1" applyFill="1" applyBorder="1" applyAlignment="1">
      <alignment horizontal="left" vertical="center"/>
    </xf>
    <xf numFmtId="0" fontId="0" fillId="0" borderId="0" xfId="0" applyFill="1" applyAlignment="1">
      <alignment horizontal="left" vertical="center"/>
    </xf>
    <xf numFmtId="167" fontId="5" fillId="0" borderId="0" xfId="0" applyNumberFormat="1" applyFont="1" applyFill="1" applyBorder="1" applyAlignment="1" applyProtection="1">
      <alignment horizontal="left" vertical="center" wrapText="1"/>
      <protection hidden="1"/>
    </xf>
    <xf numFmtId="167" fontId="6" fillId="0" borderId="0" xfId="0" applyNumberFormat="1" applyFont="1" applyFill="1" applyBorder="1" applyAlignment="1" applyProtection="1">
      <alignment horizontal="left" vertical="center" wrapText="1"/>
      <protection hidden="1"/>
    </xf>
    <xf numFmtId="167" fontId="4" fillId="0" borderId="8" xfId="0" applyNumberFormat="1" applyFont="1" applyFill="1" applyBorder="1" applyAlignment="1" applyProtection="1">
      <alignment horizontal="left" vertical="center"/>
      <protection hidden="1"/>
    </xf>
    <xf numFmtId="167" fontId="4" fillId="0" borderId="0" xfId="0" applyNumberFormat="1" applyFont="1" applyFill="1" applyBorder="1" applyAlignment="1" applyProtection="1">
      <alignment horizontal="left" vertical="center"/>
      <protection hidden="1"/>
    </xf>
    <xf numFmtId="0" fontId="3" fillId="6" borderId="58"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protection hidden="1"/>
    </xf>
    <xf numFmtId="0" fontId="3" fillId="0" borderId="0" xfId="0" applyFont="1" applyFill="1" applyAlignment="1" applyProtection="1">
      <alignment horizontal="left" vertical="center"/>
      <protection hidden="1"/>
    </xf>
    <xf numFmtId="2" fontId="8" fillId="4" borderId="57" xfId="0" applyNumberFormat="1" applyFont="1" applyFill="1" applyBorder="1" applyAlignment="1" applyProtection="1">
      <alignment horizontal="center" vertical="center"/>
      <protection locked="0"/>
    </xf>
    <xf numFmtId="2" fontId="8" fillId="4" borderId="73" xfId="0" applyNumberFormat="1" applyFont="1" applyFill="1" applyBorder="1" applyAlignment="1" applyProtection="1">
      <alignment horizontal="center" vertical="center"/>
      <protection locked="0"/>
    </xf>
    <xf numFmtId="2" fontId="8" fillId="4" borderId="33" xfId="0" applyNumberFormat="1" applyFont="1" applyFill="1" applyBorder="1" applyAlignment="1" applyProtection="1">
      <alignment horizontal="center" vertical="center"/>
      <protection locked="0"/>
    </xf>
    <xf numFmtId="2" fontId="8" fillId="4" borderId="48" xfId="0" applyNumberFormat="1" applyFont="1" applyFill="1" applyBorder="1" applyAlignment="1" applyProtection="1">
      <alignment horizontal="center" vertical="center"/>
      <protection locked="0"/>
    </xf>
    <xf numFmtId="0" fontId="3" fillId="6" borderId="57" xfId="0" applyFont="1" applyFill="1" applyBorder="1" applyAlignment="1" applyProtection="1">
      <alignment vertical="center"/>
      <protection locked="0"/>
    </xf>
    <xf numFmtId="0" fontId="8" fillId="4" borderId="26" xfId="0" applyFont="1" applyFill="1" applyBorder="1" applyAlignment="1" applyProtection="1">
      <alignment horizontal="left" vertical="center"/>
      <protection locked="0"/>
    </xf>
    <xf numFmtId="0" fontId="8" fillId="4" borderId="59" xfId="0" applyFont="1" applyFill="1" applyBorder="1" applyAlignment="1" applyProtection="1">
      <alignment horizontal="left" vertical="center"/>
      <protection locked="0"/>
    </xf>
    <xf numFmtId="0" fontId="8" fillId="4" borderId="33" xfId="0" applyFont="1" applyFill="1" applyBorder="1" applyAlignment="1" applyProtection="1">
      <alignment horizontal="left" vertical="center"/>
      <protection locked="0"/>
    </xf>
    <xf numFmtId="0" fontId="8" fillId="4" borderId="48" xfId="0" applyFont="1" applyFill="1" applyBorder="1" applyAlignment="1" applyProtection="1">
      <alignment horizontal="left" vertical="center"/>
      <protection locked="0"/>
    </xf>
    <xf numFmtId="43" fontId="8" fillId="4" borderId="22" xfId="3" applyFont="1" applyFill="1" applyBorder="1" applyAlignment="1" applyProtection="1">
      <alignment horizontal="center" vertical="center"/>
      <protection locked="0"/>
    </xf>
    <xf numFmtId="0" fontId="3" fillId="6" borderId="2" xfId="0" applyFont="1" applyFill="1" applyBorder="1" applyAlignment="1" applyProtection="1">
      <protection locked="0"/>
    </xf>
    <xf numFmtId="0" fontId="3" fillId="6" borderId="5" xfId="0" applyFont="1" applyFill="1" applyBorder="1" applyAlignment="1" applyProtection="1">
      <protection locked="0"/>
    </xf>
    <xf numFmtId="171" fontId="8" fillId="3" borderId="15" xfId="3" applyNumberFormat="1" applyFont="1" applyFill="1" applyBorder="1" applyAlignment="1" applyProtection="1">
      <alignment horizontal="center" vertical="center"/>
      <protection hidden="1"/>
    </xf>
    <xf numFmtId="14" fontId="14" fillId="4" borderId="2" xfId="0" applyNumberFormat="1" applyFont="1" applyFill="1" applyBorder="1" applyAlignment="1" applyProtection="1">
      <alignment horizontal="left" vertical="center"/>
      <protection locked="0"/>
    </xf>
    <xf numFmtId="14" fontId="14" fillId="4" borderId="3" xfId="0" applyNumberFormat="1" applyFont="1" applyFill="1" applyBorder="1" applyAlignment="1" applyProtection="1">
      <alignment horizontal="left" vertical="center"/>
      <protection locked="0"/>
    </xf>
    <xf numFmtId="0" fontId="41" fillId="13" borderId="0" xfId="0" applyFont="1" applyFill="1" applyProtection="1">
      <protection hidden="1"/>
    </xf>
    <xf numFmtId="0" fontId="47" fillId="0" borderId="0" xfId="0" applyFont="1" applyFill="1" applyBorder="1" applyAlignment="1" applyProtection="1">
      <alignment vertical="top" wrapText="1"/>
      <protection hidden="1"/>
    </xf>
    <xf numFmtId="0" fontId="23" fillId="0" borderId="0" xfId="0" applyFont="1" applyFill="1" applyAlignment="1" applyProtection="1">
      <alignment horizontal="center"/>
      <protection hidden="1"/>
    </xf>
    <xf numFmtId="2" fontId="50" fillId="0" borderId="0" xfId="0" applyNumberFormat="1" applyFont="1" applyFill="1" applyBorder="1" applyAlignment="1" applyProtection="1">
      <alignment horizontal="center" vertical="center" wrapText="1"/>
      <protection hidden="1"/>
    </xf>
    <xf numFmtId="0" fontId="51" fillId="0" borderId="0" xfId="0" applyNumberFormat="1" applyFont="1" applyFill="1" applyBorder="1" applyProtection="1">
      <protection hidden="1"/>
    </xf>
    <xf numFmtId="6" fontId="8" fillId="4" borderId="17" xfId="0" applyNumberFormat="1" applyFont="1" applyFill="1" applyBorder="1" applyAlignment="1" applyProtection="1">
      <alignment horizontal="center" vertical="center"/>
      <protection locked="0"/>
    </xf>
    <xf numFmtId="6" fontId="8" fillId="4" borderId="6" xfId="0" applyNumberFormat="1" applyFont="1" applyFill="1" applyBorder="1" applyAlignment="1" applyProtection="1">
      <alignment horizontal="center" vertical="center"/>
      <protection locked="0"/>
    </xf>
    <xf numFmtId="44" fontId="8" fillId="3" borderId="1" xfId="0" applyNumberFormat="1" applyFont="1" applyFill="1" applyBorder="1" applyAlignment="1" applyProtection="1">
      <alignment horizontal="left" vertical="center"/>
      <protection hidden="1"/>
    </xf>
    <xf numFmtId="44" fontId="8" fillId="3" borderId="4" xfId="0" applyNumberFormat="1" applyFont="1" applyFill="1" applyBorder="1" applyAlignment="1" applyProtection="1">
      <alignment horizontal="left" vertical="center"/>
      <protection hidden="1"/>
    </xf>
    <xf numFmtId="44" fontId="14" fillId="3" borderId="17" xfId="0" applyNumberFormat="1" applyFont="1" applyFill="1" applyBorder="1" applyAlignment="1" applyProtection="1">
      <alignment horizontal="left" vertical="center"/>
      <protection hidden="1"/>
    </xf>
    <xf numFmtId="44" fontId="14" fillId="3" borderId="65" xfId="0" applyNumberFormat="1" applyFont="1" applyFill="1" applyBorder="1" applyAlignment="1" applyProtection="1">
      <alignment horizontal="left" vertical="center"/>
      <protection hidden="1"/>
    </xf>
    <xf numFmtId="44" fontId="6" fillId="2" borderId="45" xfId="0" applyNumberFormat="1" applyFont="1" applyFill="1" applyBorder="1" applyAlignment="1" applyProtection="1">
      <alignment horizontal="left" vertical="center"/>
      <protection hidden="1"/>
    </xf>
    <xf numFmtId="44" fontId="6" fillId="2" borderId="65" xfId="0" applyNumberFormat="1" applyFont="1" applyFill="1" applyBorder="1" applyAlignment="1" applyProtection="1">
      <alignment horizontal="left" vertical="center"/>
      <protection hidden="1"/>
    </xf>
    <xf numFmtId="44" fontId="14" fillId="3" borderId="42" xfId="0" applyNumberFormat="1" applyFont="1" applyFill="1" applyBorder="1" applyAlignment="1" applyProtection="1">
      <alignment horizontal="left" vertical="center"/>
      <protection hidden="1"/>
    </xf>
    <xf numFmtId="44" fontId="14" fillId="3" borderId="12" xfId="0" applyNumberFormat="1" applyFont="1" applyFill="1" applyBorder="1" applyAlignment="1" applyProtection="1">
      <alignment horizontal="left" vertical="center"/>
      <protection hidden="1"/>
    </xf>
    <xf numFmtId="44" fontId="8" fillId="4" borderId="77" xfId="0" applyNumberFormat="1" applyFont="1" applyFill="1" applyBorder="1" applyAlignment="1" applyProtection="1">
      <alignment horizontal="left" vertical="center"/>
      <protection locked="0"/>
    </xf>
    <xf numFmtId="44" fontId="8" fillId="4" borderId="80" xfId="0" applyNumberFormat="1" applyFont="1" applyFill="1" applyBorder="1" applyAlignment="1" applyProtection="1">
      <alignment horizontal="left" vertical="center"/>
      <protection locked="0"/>
    </xf>
    <xf numFmtId="44" fontId="8" fillId="4" borderId="79" xfId="0" applyNumberFormat="1" applyFont="1" applyFill="1" applyBorder="1" applyAlignment="1" applyProtection="1">
      <alignment horizontal="left" vertical="center"/>
      <protection locked="0"/>
    </xf>
    <xf numFmtId="44" fontId="8" fillId="3" borderId="33" xfId="0" applyNumberFormat="1" applyFont="1" applyFill="1" applyBorder="1" applyAlignment="1" applyProtection="1">
      <alignment horizontal="left" vertical="center"/>
      <protection hidden="1"/>
    </xf>
    <xf numFmtId="44" fontId="8" fillId="3" borderId="60" xfId="0" applyNumberFormat="1" applyFont="1" applyFill="1" applyBorder="1" applyAlignment="1" applyProtection="1">
      <alignment horizontal="left" vertical="center"/>
      <protection hidden="1"/>
    </xf>
    <xf numFmtId="44" fontId="8" fillId="3" borderId="62" xfId="0" applyNumberFormat="1" applyFont="1" applyFill="1" applyBorder="1" applyAlignment="1" applyProtection="1">
      <alignment horizontal="left" vertical="center"/>
      <protection hidden="1"/>
    </xf>
    <xf numFmtId="44" fontId="6" fillId="3" borderId="77" xfId="0" applyNumberFormat="1" applyFont="1" applyFill="1" applyBorder="1" applyAlignment="1" applyProtection="1">
      <alignment horizontal="left" vertical="center"/>
      <protection hidden="1"/>
    </xf>
    <xf numFmtId="44" fontId="6" fillId="3" borderId="80" xfId="0" applyNumberFormat="1" applyFont="1" applyFill="1" applyBorder="1" applyAlignment="1" applyProtection="1">
      <alignment horizontal="left" vertical="center"/>
      <protection hidden="1"/>
    </xf>
    <xf numFmtId="44" fontId="6" fillId="3" borderId="79" xfId="0" applyNumberFormat="1" applyFont="1" applyFill="1" applyBorder="1" applyAlignment="1" applyProtection="1">
      <alignment horizontal="left" vertical="center"/>
      <protection hidden="1"/>
    </xf>
    <xf numFmtId="0" fontId="3" fillId="0" borderId="26" xfId="0" applyFont="1" applyBorder="1" applyAlignment="1" applyProtection="1">
      <alignment horizontal="left" vertical="center"/>
      <protection locked="0"/>
    </xf>
    <xf numFmtId="0" fontId="26" fillId="0" borderId="0" xfId="0" applyFont="1" applyAlignment="1">
      <alignment horizontal="left" vertical="top" wrapText="1"/>
    </xf>
    <xf numFmtId="0" fontId="3" fillId="0" borderId="48"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0" fontId="3" fillId="0" borderId="50" xfId="0" applyFont="1" applyBorder="1" applyAlignment="1" applyProtection="1">
      <alignment horizontal="left" vertical="center"/>
      <protection locked="0"/>
    </xf>
    <xf numFmtId="2" fontId="8" fillId="4" borderId="2" xfId="0" applyNumberFormat="1" applyFont="1" applyFill="1" applyBorder="1" applyAlignment="1" applyProtection="1">
      <alignment horizontal="center" vertical="center"/>
      <protection locked="0"/>
    </xf>
    <xf numFmtId="2" fontId="8" fillId="4" borderId="5" xfId="0" applyNumberFormat="1" applyFont="1" applyFill="1" applyBorder="1" applyAlignment="1" applyProtection="1">
      <alignment horizontal="center" vertical="center"/>
      <protection locked="0"/>
    </xf>
    <xf numFmtId="172" fontId="8" fillId="3" borderId="15" xfId="0" applyNumberFormat="1" applyFont="1" applyFill="1" applyBorder="1" applyAlignment="1" applyProtection="1">
      <alignment horizontal="center" vertical="center"/>
      <protection hidden="1"/>
    </xf>
    <xf numFmtId="172" fontId="8" fillId="3" borderId="5" xfId="0" applyNumberFormat="1" applyFont="1" applyFill="1" applyBorder="1" applyAlignment="1" applyProtection="1">
      <alignment horizontal="center" vertical="center"/>
      <protection hidden="1"/>
    </xf>
    <xf numFmtId="164" fontId="8" fillId="4" borderId="61" xfId="0" applyNumberFormat="1" applyFont="1" applyFill="1" applyBorder="1" applyAlignment="1" applyProtection="1">
      <alignment horizontal="center" vertical="center"/>
      <protection locked="0"/>
    </xf>
    <xf numFmtId="164" fontId="8" fillId="4" borderId="3" xfId="0" applyNumberFormat="1" applyFont="1" applyFill="1" applyBorder="1" applyAlignment="1" applyProtection="1">
      <alignment horizontal="center" vertical="center"/>
      <protection locked="0"/>
    </xf>
    <xf numFmtId="164" fontId="8" fillId="4" borderId="6" xfId="0" applyNumberFormat="1" applyFont="1" applyFill="1" applyBorder="1" applyAlignment="1" applyProtection="1">
      <alignment horizontal="center" vertical="center"/>
      <protection locked="0"/>
    </xf>
    <xf numFmtId="164" fontId="8" fillId="3" borderId="15" xfId="0" applyNumberFormat="1" applyFont="1" applyFill="1" applyBorder="1" applyAlignment="1" applyProtection="1">
      <alignment horizontal="center" vertical="center"/>
      <protection hidden="1"/>
    </xf>
    <xf numFmtId="164" fontId="8" fillId="3" borderId="5" xfId="0" applyNumberFormat="1" applyFont="1" applyFill="1" applyBorder="1" applyAlignment="1" applyProtection="1">
      <alignment horizontal="center" vertical="center"/>
      <protection hidden="1"/>
    </xf>
    <xf numFmtId="44" fontId="8" fillId="3" borderId="57" xfId="0" applyNumberFormat="1" applyFont="1" applyFill="1" applyBorder="1" applyAlignment="1" applyProtection="1">
      <alignment horizontal="left" vertical="center"/>
      <protection hidden="1"/>
    </xf>
    <xf numFmtId="44" fontId="8" fillId="3" borderId="2" xfId="0" applyNumberFormat="1" applyFont="1" applyFill="1" applyBorder="1" applyAlignment="1" applyProtection="1">
      <alignment horizontal="left" vertical="center"/>
      <protection hidden="1"/>
    </xf>
    <xf numFmtId="44" fontId="8" fillId="3" borderId="5" xfId="0" applyNumberFormat="1" applyFont="1" applyFill="1" applyBorder="1" applyAlignment="1" applyProtection="1">
      <alignment horizontal="left" vertical="center"/>
      <protection hidden="1"/>
    </xf>
    <xf numFmtId="167" fontId="6" fillId="2" borderId="76" xfId="0" applyNumberFormat="1" applyFont="1" applyFill="1" applyBorder="1" applyAlignment="1" applyProtection="1">
      <alignment horizontal="center" vertical="center" wrapText="1"/>
      <protection hidden="1"/>
    </xf>
    <xf numFmtId="167" fontId="6" fillId="2" borderId="13" xfId="0" applyNumberFormat="1" applyFont="1" applyFill="1" applyBorder="1" applyAlignment="1" applyProtection="1">
      <alignment horizontal="center" vertical="center" wrapText="1"/>
      <protection hidden="1"/>
    </xf>
    <xf numFmtId="167" fontId="6" fillId="2" borderId="81" xfId="0" applyNumberFormat="1" applyFont="1" applyFill="1" applyBorder="1" applyAlignment="1" applyProtection="1">
      <alignment horizontal="center" vertical="center" wrapText="1"/>
      <protection hidden="1"/>
    </xf>
    <xf numFmtId="44" fontId="14" fillId="3" borderId="61" xfId="0" applyNumberFormat="1" applyFont="1" applyFill="1" applyBorder="1" applyAlignment="1" applyProtection="1">
      <alignment horizontal="left" vertical="center"/>
      <protection hidden="1"/>
    </xf>
    <xf numFmtId="44" fontId="14" fillId="3" borderId="3" xfId="0" applyNumberFormat="1" applyFont="1" applyFill="1" applyBorder="1" applyAlignment="1" applyProtection="1">
      <alignment horizontal="left" vertical="center"/>
      <protection hidden="1"/>
    </xf>
    <xf numFmtId="44" fontId="14" fillId="3" borderId="6" xfId="0" applyNumberFormat="1" applyFont="1" applyFill="1" applyBorder="1" applyAlignment="1" applyProtection="1">
      <alignment horizontal="left" vertical="center"/>
      <protection hidden="1"/>
    </xf>
    <xf numFmtId="0" fontId="26" fillId="0" borderId="0" xfId="0" applyFont="1" applyBorder="1" applyAlignment="1">
      <alignment horizontal="left" vertical="top" wrapText="1"/>
    </xf>
    <xf numFmtId="5" fontId="6" fillId="0" borderId="0" xfId="0" applyNumberFormat="1" applyFont="1" applyFill="1" applyBorder="1" applyAlignment="1" applyProtection="1">
      <alignment horizontal="center" vertical="center" wrapText="1"/>
      <protection hidden="1"/>
    </xf>
    <xf numFmtId="44" fontId="6" fillId="0" borderId="0" xfId="0" applyNumberFormat="1" applyFont="1" applyFill="1" applyBorder="1" applyAlignment="1" applyProtection="1">
      <alignment horizontal="left" vertical="center"/>
      <protection hidden="1"/>
    </xf>
    <xf numFmtId="171" fontId="8" fillId="3" borderId="57" xfId="3" applyNumberFormat="1" applyFont="1" applyFill="1" applyBorder="1" applyAlignment="1" applyProtection="1">
      <alignment horizontal="center" vertical="center"/>
      <protection hidden="1"/>
    </xf>
    <xf numFmtId="4" fontId="8" fillId="3" borderId="2" xfId="3" applyNumberFormat="1" applyFont="1" applyFill="1" applyBorder="1" applyAlignment="1" applyProtection="1">
      <alignment horizontal="center" vertical="center"/>
      <protection hidden="1"/>
    </xf>
    <xf numFmtId="4" fontId="8" fillId="3" borderId="5" xfId="3" applyNumberFormat="1" applyFont="1" applyFill="1" applyBorder="1" applyAlignment="1" applyProtection="1">
      <alignment horizontal="center" vertical="center"/>
      <protection hidden="1"/>
    </xf>
    <xf numFmtId="171" fontId="8" fillId="18" borderId="15" xfId="3" applyNumberFormat="1" applyFont="1" applyFill="1" applyBorder="1" applyAlignment="1" applyProtection="1">
      <alignment horizontal="center" vertical="center"/>
      <protection locked="0" hidden="1"/>
    </xf>
    <xf numFmtId="44" fontId="8" fillId="18" borderId="15" xfId="3" applyNumberFormat="1" applyFont="1" applyFill="1" applyBorder="1" applyAlignment="1" applyProtection="1">
      <alignment horizontal="center" vertical="center"/>
      <protection locked="0" hidden="1"/>
    </xf>
    <xf numFmtId="44" fontId="8" fillId="3" borderId="1" xfId="0" applyNumberFormat="1" applyFont="1" applyFill="1" applyBorder="1" applyAlignment="1" applyProtection="1">
      <alignment vertical="center"/>
      <protection hidden="1"/>
    </xf>
    <xf numFmtId="44" fontId="8" fillId="3" borderId="4" xfId="0" applyNumberFormat="1" applyFont="1" applyFill="1" applyBorder="1" applyAlignment="1" applyProtection="1">
      <alignment vertical="center"/>
      <protection hidden="1"/>
    </xf>
    <xf numFmtId="44" fontId="8" fillId="18" borderId="58" xfId="3" applyNumberFormat="1" applyFont="1" applyFill="1" applyBorder="1" applyAlignment="1" applyProtection="1">
      <alignment horizontal="center" vertical="center"/>
      <protection locked="0" hidden="1"/>
    </xf>
    <xf numFmtId="44" fontId="8" fillId="18" borderId="57" xfId="3" applyNumberFormat="1" applyFont="1" applyFill="1" applyBorder="1" applyAlignment="1" applyProtection="1">
      <alignment horizontal="center" vertical="center"/>
      <protection locked="0" hidden="1"/>
    </xf>
    <xf numFmtId="4" fontId="8" fillId="3" borderId="57" xfId="3" applyNumberFormat="1" applyFont="1" applyFill="1" applyBorder="1" applyAlignment="1" applyProtection="1">
      <alignment horizontal="center" vertical="center"/>
      <protection hidden="1"/>
    </xf>
    <xf numFmtId="2" fontId="6" fillId="2" borderId="9" xfId="0" applyNumberFormat="1" applyFont="1" applyFill="1" applyBorder="1" applyAlignment="1" applyProtection="1">
      <alignment horizontal="center" vertical="center" wrapText="1"/>
      <protection hidden="1"/>
    </xf>
    <xf numFmtId="0" fontId="55" fillId="4" borderId="2" xfId="0" applyFont="1" applyFill="1" applyBorder="1" applyAlignment="1" applyProtection="1">
      <protection locked="0"/>
    </xf>
    <xf numFmtId="0" fontId="55" fillId="4" borderId="5" xfId="0" applyFont="1" applyFill="1" applyBorder="1" applyAlignment="1" applyProtection="1">
      <protection locked="0"/>
    </xf>
    <xf numFmtId="0" fontId="10" fillId="0" borderId="0" xfId="0" applyFont="1" applyBorder="1"/>
    <xf numFmtId="0" fontId="3" fillId="0" borderId="8" xfId="0" applyFont="1" applyFill="1" applyBorder="1" applyAlignment="1" applyProtection="1">
      <alignment horizontal="left" vertical="center"/>
      <protection hidden="1"/>
    </xf>
    <xf numFmtId="0" fontId="0" fillId="0" borderId="11" xfId="0" applyBorder="1"/>
    <xf numFmtId="0" fontId="18" fillId="0" borderId="8" xfId="0" applyFont="1" applyFill="1" applyBorder="1" applyAlignment="1">
      <alignment vertical="top"/>
    </xf>
    <xf numFmtId="5" fontId="5" fillId="0" borderId="20" xfId="0" applyNumberFormat="1" applyFont="1" applyFill="1" applyBorder="1" applyAlignment="1" applyProtection="1">
      <alignment horizontal="center" vertical="top" wrapText="1"/>
      <protection hidden="1"/>
    </xf>
    <xf numFmtId="5" fontId="14" fillId="0" borderId="20" xfId="0" applyNumberFormat="1" applyFont="1" applyFill="1" applyBorder="1" applyAlignment="1" applyProtection="1">
      <alignment vertical="center"/>
      <protection hidden="1"/>
    </xf>
    <xf numFmtId="0" fontId="56" fillId="0" borderId="0" xfId="1" applyFont="1" applyAlignment="1">
      <alignment horizontal="center" vertical="center"/>
    </xf>
    <xf numFmtId="0" fontId="0" fillId="0" borderId="2" xfId="0" applyBorder="1" applyAlignment="1">
      <alignment horizontal="center" vertical="center"/>
    </xf>
    <xf numFmtId="0" fontId="60" fillId="0" borderId="0" xfId="2" applyFont="1"/>
    <xf numFmtId="0" fontId="60" fillId="0" borderId="0" xfId="2" applyFont="1" applyAlignment="1">
      <alignment horizontal="center"/>
    </xf>
    <xf numFmtId="0" fontId="60" fillId="0" borderId="2" xfId="0" applyFont="1" applyBorder="1" applyAlignment="1">
      <alignment vertical="center"/>
    </xf>
    <xf numFmtId="0" fontId="62" fillId="0" borderId="2" xfId="0" applyFont="1" applyBorder="1" applyAlignment="1">
      <alignment horizontal="center" vertical="center"/>
    </xf>
    <xf numFmtId="0" fontId="63" fillId="0" borderId="2" xfId="0" applyFont="1" applyBorder="1" applyAlignment="1">
      <alignment horizontal="center" vertical="center"/>
    </xf>
    <xf numFmtId="0" fontId="59" fillId="0" borderId="2" xfId="0" applyFont="1" applyBorder="1" applyAlignment="1">
      <alignment vertical="center"/>
    </xf>
    <xf numFmtId="0" fontId="55" fillId="4" borderId="15" xfId="0" applyFont="1" applyFill="1" applyBorder="1" applyAlignment="1" applyProtection="1">
      <protection locked="0"/>
    </xf>
    <xf numFmtId="0" fontId="6" fillId="20" borderId="28" xfId="2" applyFont="1" applyFill="1" applyBorder="1" applyAlignment="1">
      <alignment horizontal="left" vertical="top" wrapText="1"/>
    </xf>
    <xf numFmtId="0" fontId="6" fillId="20" borderId="28" xfId="2" applyFont="1" applyFill="1" applyBorder="1" applyAlignment="1">
      <alignment vertical="top" wrapText="1"/>
    </xf>
    <xf numFmtId="0" fontId="6" fillId="20" borderId="28" xfId="2" applyFont="1" applyFill="1" applyBorder="1" applyAlignment="1">
      <alignment horizontal="left" vertical="top"/>
    </xf>
    <xf numFmtId="0" fontId="6" fillId="20" borderId="13" xfId="2" applyFont="1" applyFill="1" applyBorder="1" applyAlignment="1">
      <alignment horizontal="left" vertical="top"/>
    </xf>
    <xf numFmtId="0" fontId="6" fillId="20" borderId="0" xfId="2" applyFont="1" applyFill="1" applyBorder="1" applyAlignment="1">
      <alignment horizontal="left" vertical="top" wrapText="1"/>
    </xf>
    <xf numFmtId="0" fontId="6" fillId="20" borderId="0" xfId="2" applyFont="1" applyFill="1" applyBorder="1" applyAlignment="1">
      <alignment horizontal="left" vertical="top"/>
    </xf>
    <xf numFmtId="0" fontId="6" fillId="20" borderId="0" xfId="2" applyFont="1" applyFill="1" applyBorder="1" applyAlignment="1">
      <alignment vertical="top" wrapText="1"/>
    </xf>
    <xf numFmtId="0" fontId="6" fillId="20" borderId="14" xfId="2" applyFont="1" applyFill="1" applyBorder="1" applyAlignment="1">
      <alignment horizontal="left" vertical="top"/>
    </xf>
    <xf numFmtId="0" fontId="6" fillId="20" borderId="37" xfId="2" applyFont="1" applyFill="1" applyBorder="1" applyAlignment="1">
      <alignment horizontal="left" vertical="top"/>
    </xf>
    <xf numFmtId="0" fontId="6" fillId="20" borderId="38" xfId="2" applyFont="1" applyFill="1" applyBorder="1" applyAlignment="1">
      <alignment horizontal="left" vertical="top" wrapText="1"/>
    </xf>
    <xf numFmtId="0" fontId="6" fillId="20" borderId="37" xfId="2" applyFont="1" applyFill="1" applyBorder="1" applyAlignment="1">
      <alignment horizontal="left" vertical="top" wrapText="1"/>
    </xf>
    <xf numFmtId="0" fontId="6" fillId="20" borderId="38" xfId="2" applyFont="1" applyFill="1" applyBorder="1" applyAlignment="1">
      <alignment vertical="top" wrapText="1"/>
    </xf>
    <xf numFmtId="0" fontId="6" fillId="20" borderId="74" xfId="2" applyFont="1" applyFill="1" applyBorder="1" applyAlignment="1">
      <alignment horizontal="left" vertical="top" wrapText="1"/>
    </xf>
    <xf numFmtId="0" fontId="6" fillId="20" borderId="49" xfId="2" applyFont="1" applyFill="1" applyBorder="1" applyAlignment="1">
      <alignment horizontal="left" vertical="top"/>
    </xf>
    <xf numFmtId="0" fontId="6" fillId="20" borderId="49" xfId="2" applyFont="1" applyFill="1" applyBorder="1" applyAlignment="1">
      <alignment horizontal="left" vertical="top" wrapText="1"/>
    </xf>
    <xf numFmtId="0" fontId="6" fillId="20" borderId="75" xfId="2" applyFont="1" applyFill="1" applyBorder="1" applyAlignment="1">
      <alignment horizontal="left" vertical="top" wrapText="1"/>
    </xf>
    <xf numFmtId="0" fontId="6" fillId="23" borderId="68" xfId="2" applyFont="1" applyFill="1" applyBorder="1" applyAlignment="1">
      <alignment horizontal="left" vertical="top"/>
    </xf>
    <xf numFmtId="0" fontId="6" fillId="23" borderId="73" xfId="2" applyFont="1" applyFill="1" applyBorder="1" applyAlignment="1">
      <alignment vertical="top" wrapText="1"/>
    </xf>
    <xf numFmtId="0" fontId="6" fillId="23" borderId="72" xfId="2" applyFont="1" applyFill="1" applyBorder="1" applyAlignment="1"/>
    <xf numFmtId="44" fontId="8" fillId="19" borderId="7" xfId="7" applyFont="1" applyFill="1" applyBorder="1" applyAlignment="1"/>
    <xf numFmtId="44" fontId="8" fillId="19" borderId="9" xfId="7" applyFont="1" applyFill="1" applyBorder="1" applyAlignment="1"/>
    <xf numFmtId="44" fontId="8" fillId="19" borderId="13" xfId="7" applyFont="1" applyFill="1" applyBorder="1" applyAlignment="1"/>
    <xf numFmtId="44" fontId="8" fillId="19" borderId="14" xfId="7" applyFont="1" applyFill="1" applyBorder="1" applyAlignment="1"/>
    <xf numFmtId="44" fontId="8" fillId="19" borderId="10" xfId="7" applyFont="1" applyFill="1" applyBorder="1" applyAlignment="1"/>
    <xf numFmtId="44" fontId="8" fillId="19" borderId="12" xfId="7" applyFont="1" applyFill="1" applyBorder="1" applyAlignment="1"/>
    <xf numFmtId="44" fontId="8" fillId="22" borderId="7" xfId="7" applyFont="1" applyFill="1" applyBorder="1" applyAlignment="1"/>
    <xf numFmtId="44" fontId="8" fillId="22" borderId="8" xfId="7" applyFont="1" applyFill="1" applyBorder="1" applyAlignment="1"/>
    <xf numFmtId="44" fontId="8" fillId="22" borderId="9" xfId="7" applyFont="1" applyFill="1" applyBorder="1" applyAlignment="1"/>
    <xf numFmtId="44" fontId="8" fillId="22" borderId="13" xfId="7" applyFont="1" applyFill="1" applyBorder="1" applyAlignment="1"/>
    <xf numFmtId="44" fontId="8" fillId="22" borderId="0" xfId="7" applyFont="1" applyFill="1" applyBorder="1" applyAlignment="1"/>
    <xf numFmtId="44" fontId="8" fillId="22" borderId="14" xfId="7" applyFont="1" applyFill="1" applyBorder="1" applyAlignment="1"/>
    <xf numFmtId="44" fontId="8" fillId="22" borderId="10" xfId="7" applyFont="1" applyFill="1" applyBorder="1" applyAlignment="1"/>
    <xf numFmtId="44" fontId="8" fillId="22" borderId="11" xfId="7" applyFont="1" applyFill="1" applyBorder="1" applyAlignment="1"/>
    <xf numFmtId="44" fontId="8" fillId="22" borderId="12" xfId="7" applyFont="1" applyFill="1" applyBorder="1" applyAlignment="1"/>
    <xf numFmtId="44" fontId="8" fillId="4" borderId="7" xfId="7" applyFont="1" applyFill="1" applyBorder="1" applyAlignment="1"/>
    <xf numFmtId="44" fontId="8" fillId="4" borderId="9" xfId="7" applyFont="1" applyFill="1" applyBorder="1" applyAlignment="1"/>
    <xf numFmtId="44" fontId="8" fillId="4" borderId="13" xfId="7" applyFont="1" applyFill="1" applyBorder="1" applyAlignment="1"/>
    <xf numFmtId="44" fontId="8" fillId="4" borderId="14" xfId="7" applyFont="1" applyFill="1" applyBorder="1" applyAlignment="1"/>
    <xf numFmtId="44" fontId="8" fillId="4" borderId="10" xfId="7" applyFont="1" applyFill="1" applyBorder="1" applyAlignment="1"/>
    <xf numFmtId="44" fontId="8" fillId="4" borderId="12" xfId="7" applyFont="1" applyFill="1" applyBorder="1" applyAlignment="1"/>
    <xf numFmtId="44" fontId="8" fillId="4" borderId="82" xfId="7" applyFont="1" applyFill="1" applyBorder="1" applyAlignment="1"/>
    <xf numFmtId="44" fontId="8" fillId="4" borderId="18" xfId="7" applyFont="1" applyFill="1" applyBorder="1" applyAlignment="1"/>
    <xf numFmtId="44" fontId="8" fillId="4" borderId="58" xfId="7" applyFont="1" applyFill="1" applyBorder="1" applyAlignment="1"/>
    <xf numFmtId="44" fontId="8" fillId="19" borderId="82" xfId="7" applyFont="1" applyFill="1" applyBorder="1" applyAlignment="1"/>
    <xf numFmtId="44" fontId="8" fillId="19" borderId="18" xfId="7" applyFont="1" applyFill="1" applyBorder="1" applyAlignment="1"/>
    <xf numFmtId="44" fontId="8" fillId="19" borderId="58" xfId="7" applyFont="1" applyFill="1" applyBorder="1" applyAlignment="1"/>
    <xf numFmtId="44" fontId="8" fillId="22" borderId="82" xfId="7" applyFont="1" applyFill="1" applyBorder="1" applyAlignment="1"/>
    <xf numFmtId="44" fontId="8" fillId="22" borderId="18" xfId="7" applyFont="1" applyFill="1" applyBorder="1" applyAlignment="1"/>
    <xf numFmtId="44" fontId="8" fillId="22" borderId="58" xfId="7" applyFont="1" applyFill="1" applyBorder="1" applyAlignment="1"/>
    <xf numFmtId="0" fontId="6" fillId="23" borderId="22" xfId="2" applyFont="1" applyFill="1" applyBorder="1" applyAlignment="1"/>
    <xf numFmtId="43" fontId="8" fillId="0" borderId="0" xfId="3" applyNumberFormat="1" applyFont="1" applyBorder="1" applyAlignment="1"/>
    <xf numFmtId="43" fontId="8" fillId="0" borderId="14" xfId="3" applyNumberFormat="1" applyFont="1" applyBorder="1" applyAlignment="1"/>
    <xf numFmtId="43" fontId="8" fillId="21" borderId="0" xfId="3" applyNumberFormat="1" applyFont="1" applyFill="1" applyBorder="1" applyAlignment="1"/>
    <xf numFmtId="43" fontId="8" fillId="21" borderId="11" xfId="3" applyNumberFormat="1" applyFont="1" applyFill="1" applyBorder="1" applyAlignment="1"/>
    <xf numFmtId="43" fontId="8" fillId="0" borderId="11" xfId="3" applyNumberFormat="1" applyFont="1" applyBorder="1" applyAlignment="1"/>
    <xf numFmtId="43" fontId="8" fillId="0" borderId="12" xfId="3" applyNumberFormat="1" applyFont="1" applyBorder="1" applyAlignment="1"/>
    <xf numFmtId="43" fontId="8" fillId="4" borderId="0" xfId="3" applyNumberFormat="1" applyFont="1" applyFill="1" applyBorder="1" applyAlignment="1"/>
    <xf numFmtId="0" fontId="8" fillId="0" borderId="7" xfId="2" applyFont="1" applyBorder="1" applyAlignment="1"/>
    <xf numFmtId="0" fontId="8" fillId="0" borderId="8" xfId="2" applyFont="1" applyBorder="1" applyAlignment="1"/>
    <xf numFmtId="0" fontId="8" fillId="0" borderId="9" xfId="2" applyFont="1" applyBorder="1" applyAlignment="1"/>
    <xf numFmtId="0" fontId="8" fillId="0" borderId="13" xfId="2" applyFont="1" applyBorder="1" applyAlignment="1"/>
    <xf numFmtId="0" fontId="8" fillId="0" borderId="0" xfId="2" applyFont="1" applyBorder="1" applyAlignment="1"/>
    <xf numFmtId="0" fontId="8" fillId="0" borderId="14" xfId="2" applyFont="1" applyBorder="1" applyAlignment="1"/>
    <xf numFmtId="0" fontId="8" fillId="5" borderId="13" xfId="2" applyFont="1" applyFill="1" applyBorder="1" applyAlignment="1"/>
    <xf numFmtId="0" fontId="8" fillId="5" borderId="46" xfId="2" applyFont="1" applyFill="1" applyBorder="1" applyAlignment="1"/>
    <xf numFmtId="0" fontId="8" fillId="5" borderId="76" xfId="2" applyFont="1" applyFill="1" applyBorder="1" applyAlignment="1"/>
    <xf numFmtId="0" fontId="8" fillId="5" borderId="47" xfId="2" applyFont="1" applyFill="1" applyBorder="1" applyAlignment="1"/>
    <xf numFmtId="0" fontId="8" fillId="5" borderId="10" xfId="2" applyFont="1" applyFill="1" applyBorder="1" applyAlignment="1"/>
    <xf numFmtId="0" fontId="66" fillId="0" borderId="0" xfId="0" applyFont="1" applyFill="1" applyBorder="1" applyAlignment="1">
      <alignment vertical="center"/>
    </xf>
    <xf numFmtId="0" fontId="66" fillId="0" borderId="0" xfId="0" applyFont="1" applyFill="1" applyBorder="1" applyAlignment="1">
      <alignment horizontal="center" vertical="center"/>
    </xf>
    <xf numFmtId="0" fontId="67" fillId="0" borderId="0" xfId="0" applyFont="1" applyFill="1" applyBorder="1" applyAlignment="1">
      <alignment vertical="center"/>
    </xf>
    <xf numFmtId="0" fontId="68" fillId="0" borderId="0" xfId="0" applyFont="1" applyFill="1" applyBorder="1" applyAlignment="1">
      <alignment vertical="center"/>
    </xf>
    <xf numFmtId="6" fontId="33" fillId="0" borderId="0" xfId="0" applyNumberFormat="1" applyFont="1" applyFill="1" applyBorder="1" applyAlignment="1">
      <alignment horizontal="right" vertical="center"/>
    </xf>
    <xf numFmtId="6" fontId="36" fillId="0" borderId="0" xfId="0" applyNumberFormat="1" applyFont="1" applyFill="1" applyBorder="1" applyAlignment="1">
      <alignment horizontal="right" vertical="center"/>
    </xf>
    <xf numFmtId="0" fontId="33" fillId="0" borderId="0" xfId="0" applyFont="1" applyFill="1" applyBorder="1" applyAlignment="1">
      <alignment vertical="center"/>
    </xf>
    <xf numFmtId="6" fontId="33" fillId="0" borderId="0" xfId="0" applyNumberFormat="1" applyFont="1" applyFill="1" applyBorder="1" applyAlignment="1">
      <alignment vertical="center"/>
    </xf>
    <xf numFmtId="0" fontId="68" fillId="0" borderId="0" xfId="0" applyFont="1" applyFill="1" applyBorder="1" applyAlignment="1">
      <alignment horizontal="right" vertical="center"/>
    </xf>
    <xf numFmtId="0" fontId="33" fillId="0" borderId="0" xfId="0" applyFont="1" applyFill="1" applyBorder="1" applyAlignment="1">
      <alignment horizontal="right" vertical="center"/>
    </xf>
    <xf numFmtId="8" fontId="33" fillId="0" borderId="0" xfId="0" applyNumberFormat="1" applyFont="1" applyFill="1" applyBorder="1" applyAlignment="1">
      <alignment horizontal="right" vertical="center"/>
    </xf>
    <xf numFmtId="0" fontId="33" fillId="0" borderId="0" xfId="0" applyFont="1" applyFill="1" applyBorder="1" applyAlignment="1">
      <alignment horizontal="left" vertical="center"/>
    </xf>
    <xf numFmtId="0" fontId="68" fillId="0" borderId="0" xfId="0" applyFont="1" applyFill="1" applyBorder="1" applyAlignment="1">
      <alignment horizontal="center" vertical="center"/>
    </xf>
    <xf numFmtId="0" fontId="68" fillId="0" borderId="0" xfId="0" applyFont="1" applyFill="1" applyBorder="1" applyAlignment="1">
      <alignment horizontal="left" vertical="center"/>
    </xf>
    <xf numFmtId="0" fontId="33" fillId="0" borderId="0" xfId="0" applyFont="1" applyFill="1" applyBorder="1" applyAlignment="1">
      <alignment horizontal="justify" vertical="center"/>
    </xf>
    <xf numFmtId="0" fontId="33" fillId="0" borderId="0" xfId="0" applyFont="1" applyFill="1" applyBorder="1" applyAlignment="1">
      <alignment horizontal="center" vertical="center"/>
    </xf>
    <xf numFmtId="44" fontId="8" fillId="22" borderId="81" xfId="7" applyFont="1" applyFill="1" applyBorder="1" applyAlignment="1"/>
    <xf numFmtId="44" fontId="8" fillId="22" borderId="83" xfId="7" applyFont="1" applyFill="1" applyBorder="1" applyAlignment="1"/>
    <xf numFmtId="44" fontId="8" fillId="22" borderId="65" xfId="7" applyFont="1" applyFill="1" applyBorder="1" applyAlignment="1"/>
    <xf numFmtId="43" fontId="8" fillId="4" borderId="22" xfId="3" applyFont="1" applyFill="1" applyBorder="1" applyAlignment="1" applyProtection="1">
      <alignment horizontal="center" vertical="center"/>
    </xf>
    <xf numFmtId="0" fontId="8" fillId="4" borderId="13" xfId="2" applyFont="1" applyFill="1" applyBorder="1" applyAlignment="1"/>
    <xf numFmtId="0" fontId="61" fillId="23" borderId="2" xfId="0" applyFont="1" applyFill="1" applyBorder="1" applyAlignment="1">
      <alignment horizontal="center" vertical="center" wrapText="1"/>
    </xf>
    <xf numFmtId="0" fontId="61" fillId="23" borderId="2" xfId="0" applyFont="1" applyFill="1" applyBorder="1" applyAlignment="1">
      <alignment horizontal="center" vertical="center"/>
    </xf>
    <xf numFmtId="0" fontId="69" fillId="23" borderId="2" xfId="0" applyFont="1" applyFill="1" applyBorder="1" applyAlignment="1">
      <alignment horizontal="center" vertical="center" wrapText="1"/>
    </xf>
    <xf numFmtId="0" fontId="69" fillId="23" borderId="2" xfId="0" applyFont="1" applyFill="1" applyBorder="1" applyAlignment="1">
      <alignment horizontal="center" vertical="center"/>
    </xf>
    <xf numFmtId="0" fontId="70" fillId="23" borderId="2" xfId="2" applyFont="1" applyFill="1" applyBorder="1" applyAlignment="1">
      <alignment horizontal="center"/>
    </xf>
    <xf numFmtId="0" fontId="6" fillId="23" borderId="51" xfId="0" applyFont="1" applyFill="1" applyBorder="1" applyAlignment="1">
      <alignment horizontal="center" vertical="center" wrapText="1"/>
    </xf>
    <xf numFmtId="0" fontId="6" fillId="23" borderId="52" xfId="0" applyFont="1" applyFill="1" applyBorder="1" applyAlignment="1">
      <alignment horizontal="center" vertical="center" wrapText="1"/>
    </xf>
    <xf numFmtId="0" fontId="6" fillId="23" borderId="15" xfId="0" applyFont="1" applyFill="1" applyBorder="1" applyAlignment="1">
      <alignment horizontal="center" vertical="center" wrapText="1"/>
    </xf>
    <xf numFmtId="0" fontId="6" fillId="23" borderId="53" xfId="0" applyFont="1" applyFill="1" applyBorder="1" applyAlignment="1">
      <alignment horizontal="center" vertical="center" wrapText="1"/>
    </xf>
    <xf numFmtId="0" fontId="0" fillId="0" borderId="2" xfId="0" applyBorder="1" applyAlignment="1">
      <alignment horizontal="center" vertical="center"/>
    </xf>
    <xf numFmtId="0" fontId="62" fillId="20" borderId="2" xfId="0" applyFont="1" applyFill="1" applyBorder="1" applyAlignment="1">
      <alignment horizontal="center" vertical="center" wrapText="1"/>
    </xf>
    <xf numFmtId="173" fontId="62" fillId="20" borderId="2" xfId="0" applyNumberFormat="1" applyFont="1" applyFill="1" applyBorder="1" applyAlignment="1">
      <alignment horizontal="center" vertical="center" wrapText="1"/>
    </xf>
    <xf numFmtId="0" fontId="56" fillId="23" borderId="2" xfId="0" applyFont="1" applyFill="1" applyBorder="1" applyAlignment="1">
      <alignment horizontal="left" wrapText="1"/>
    </xf>
    <xf numFmtId="10" fontId="62" fillId="20" borderId="26" xfId="6" applyNumberFormat="1" applyFont="1" applyFill="1" applyBorder="1"/>
    <xf numFmtId="169" fontId="62" fillId="20" borderId="27" xfId="3" applyNumberFormat="1" applyFont="1" applyFill="1" applyBorder="1" applyAlignment="1">
      <alignment horizontal="center"/>
    </xf>
    <xf numFmtId="0" fontId="62" fillId="0" borderId="0" xfId="0" applyFont="1"/>
    <xf numFmtId="169" fontId="62" fillId="0" borderId="0" xfId="3" applyNumberFormat="1" applyFont="1"/>
    <xf numFmtId="0" fontId="56" fillId="23" borderId="2" xfId="0" applyFont="1" applyFill="1" applyBorder="1" applyAlignment="1">
      <alignment horizontal="center" vertical="center" wrapText="1"/>
    </xf>
    <xf numFmtId="0" fontId="62" fillId="23" borderId="2" xfId="0" applyFont="1" applyFill="1" applyBorder="1" applyAlignment="1">
      <alignment horizontal="left" wrapText="1"/>
    </xf>
    <xf numFmtId="1" fontId="62" fillId="23" borderId="2" xfId="3" applyNumberFormat="1" applyFont="1" applyFill="1" applyBorder="1" applyAlignment="1">
      <alignment horizontal="center" vertical="center" wrapText="1"/>
    </xf>
    <xf numFmtId="2" fontId="62" fillId="23" borderId="2" xfId="0" applyNumberFormat="1" applyFont="1" applyFill="1" applyBorder="1" applyAlignment="1">
      <alignment horizontal="center" vertical="center" wrapText="1"/>
    </xf>
    <xf numFmtId="3" fontId="62" fillId="23" borderId="2" xfId="0" applyNumberFormat="1" applyFont="1" applyFill="1" applyBorder="1" applyAlignment="1">
      <alignment horizontal="center" vertical="center" wrapText="1"/>
    </xf>
    <xf numFmtId="0" fontId="62" fillId="23" borderId="2" xfId="0" applyFont="1" applyFill="1" applyBorder="1" applyAlignment="1">
      <alignment horizontal="center"/>
    </xf>
    <xf numFmtId="169" fontId="62" fillId="23" borderId="0" xfId="3" applyNumberFormat="1" applyFont="1" applyFill="1"/>
    <xf numFmtId="169" fontId="62" fillId="23" borderId="0" xfId="0" applyNumberFormat="1" applyFont="1" applyFill="1"/>
    <xf numFmtId="0" fontId="62" fillId="0" borderId="0" xfId="0" applyFont="1" applyFill="1"/>
    <xf numFmtId="0" fontId="62" fillId="23" borderId="0" xfId="0" applyFont="1" applyFill="1"/>
    <xf numFmtId="43" fontId="62" fillId="23" borderId="0" xfId="3" applyNumberFormat="1" applyFont="1" applyFill="1"/>
    <xf numFmtId="43" fontId="62" fillId="23" borderId="0" xfId="0" applyNumberFormat="1" applyFont="1" applyFill="1"/>
    <xf numFmtId="169" fontId="62" fillId="0" borderId="0" xfId="0" applyNumberFormat="1" applyFont="1"/>
    <xf numFmtId="1" fontId="62" fillId="0" borderId="0" xfId="3" applyNumberFormat="1" applyFont="1"/>
    <xf numFmtId="3" fontId="62" fillId="23" borderId="2" xfId="0" applyNumberFormat="1" applyFont="1" applyFill="1" applyBorder="1" applyAlignment="1">
      <alignment horizontal="center" vertical="center"/>
    </xf>
    <xf numFmtId="6" fontId="62" fillId="0" borderId="0" xfId="0" applyNumberFormat="1" applyFont="1"/>
    <xf numFmtId="43" fontId="62" fillId="0" borderId="0" xfId="0" applyNumberFormat="1" applyFont="1"/>
    <xf numFmtId="1" fontId="62" fillId="0" borderId="2" xfId="3" applyNumberFormat="1" applyFont="1" applyBorder="1" applyAlignment="1">
      <alignment horizontal="center" vertical="center" wrapText="1"/>
    </xf>
    <xf numFmtId="2" fontId="62" fillId="0" borderId="2" xfId="0" applyNumberFormat="1" applyFont="1" applyBorder="1" applyAlignment="1">
      <alignment horizontal="center" vertical="center" wrapText="1"/>
    </xf>
    <xf numFmtId="3" fontId="62" fillId="20" borderId="2" xfId="0" applyNumberFormat="1" applyFont="1" applyFill="1" applyBorder="1" applyAlignment="1">
      <alignment horizontal="center" vertical="center" wrapText="1"/>
    </xf>
    <xf numFmtId="0" fontId="62" fillId="0" borderId="2" xfId="0" applyFont="1" applyBorder="1" applyAlignment="1">
      <alignment horizontal="center"/>
    </xf>
    <xf numFmtId="0" fontId="62" fillId="0" borderId="2" xfId="0" applyFont="1" applyFill="1" applyBorder="1" applyAlignment="1">
      <alignment horizontal="center"/>
    </xf>
    <xf numFmtId="43" fontId="62" fillId="4" borderId="0" xfId="3" applyNumberFormat="1" applyFont="1" applyFill="1"/>
    <xf numFmtId="43" fontId="62" fillId="4" borderId="0" xfId="0" applyNumberFormat="1" applyFont="1" applyFill="1"/>
    <xf numFmtId="3" fontId="62" fillId="20" borderId="2" xfId="0" applyNumberFormat="1" applyFont="1" applyFill="1" applyBorder="1" applyAlignment="1">
      <alignment horizontal="center" vertical="center"/>
    </xf>
    <xf numFmtId="1" fontId="62" fillId="0" borderId="2" xfId="3" applyNumberFormat="1" applyFont="1" applyFill="1" applyBorder="1" applyAlignment="1">
      <alignment horizontal="center" vertical="center" wrapText="1"/>
    </xf>
    <xf numFmtId="2" fontId="62" fillId="0" borderId="2" xfId="0" applyNumberFormat="1" applyFont="1" applyFill="1" applyBorder="1" applyAlignment="1">
      <alignment horizontal="center" vertical="center" wrapText="1"/>
    </xf>
    <xf numFmtId="169" fontId="62" fillId="0" borderId="0" xfId="3" applyNumberFormat="1" applyFont="1" applyFill="1"/>
    <xf numFmtId="169" fontId="62" fillId="0" borderId="0" xfId="0" applyNumberFormat="1" applyFont="1" applyFill="1"/>
    <xf numFmtId="1" fontId="62" fillId="0" borderId="0" xfId="3" applyNumberFormat="1" applyFont="1" applyFill="1"/>
    <xf numFmtId="43" fontId="62" fillId="0" borderId="0" xfId="0" applyNumberFormat="1" applyFont="1" applyFill="1"/>
    <xf numFmtId="0" fontId="62" fillId="0" borderId="0" xfId="0" applyFont="1" applyAlignment="1">
      <alignment horizontal="center"/>
    </xf>
    <xf numFmtId="168" fontId="62" fillId="0" borderId="0" xfId="3" applyNumberFormat="1" applyFont="1"/>
    <xf numFmtId="0" fontId="60" fillId="20" borderId="30" xfId="2" applyFont="1" applyFill="1" applyBorder="1"/>
    <xf numFmtId="0" fontId="60" fillId="20" borderId="31" xfId="2" applyFont="1" applyFill="1" applyBorder="1"/>
    <xf numFmtId="0" fontId="71" fillId="0" borderId="31" xfId="0" applyFont="1" applyBorder="1" applyAlignment="1">
      <alignment vertical="top" wrapText="1"/>
    </xf>
    <xf numFmtId="43" fontId="71" fillId="0" borderId="32" xfId="3" applyNumberFormat="1" applyFont="1" applyBorder="1"/>
    <xf numFmtId="43" fontId="71" fillId="0" borderId="0" xfId="0" applyNumberFormat="1" applyFont="1"/>
    <xf numFmtId="0" fontId="71" fillId="0" borderId="0" xfId="0" applyFont="1"/>
    <xf numFmtId="8" fontId="71" fillId="0" borderId="0" xfId="0" applyNumberFormat="1" applyFont="1"/>
    <xf numFmtId="0" fontId="60" fillId="20" borderId="29" xfId="2" applyFont="1" applyFill="1" applyBorder="1"/>
    <xf numFmtId="0" fontId="60" fillId="20" borderId="0" xfId="2" applyFont="1" applyFill="1" applyBorder="1"/>
    <xf numFmtId="0" fontId="71" fillId="0" borderId="0" xfId="0" applyFont="1" applyBorder="1" applyAlignment="1">
      <alignment vertical="top" wrapText="1"/>
    </xf>
    <xf numFmtId="43" fontId="71" fillId="0" borderId="36" xfId="3" applyNumberFormat="1" applyFont="1" applyBorder="1"/>
    <xf numFmtId="0" fontId="60" fillId="20" borderId="33" xfId="2" applyFont="1" applyFill="1" applyBorder="1"/>
    <xf numFmtId="0" fontId="60" fillId="20" borderId="34" xfId="2" applyFont="1" applyFill="1" applyBorder="1"/>
    <xf numFmtId="0" fontId="71" fillId="0" borderId="34" xfId="0" applyFont="1" applyBorder="1" applyAlignment="1">
      <alignment vertical="top" wrapText="1"/>
    </xf>
    <xf numFmtId="43" fontId="71" fillId="0" borderId="35" xfId="3" applyNumberFormat="1" applyFont="1" applyBorder="1"/>
    <xf numFmtId="0" fontId="60" fillId="0" borderId="0" xfId="2" applyFont="1" applyFill="1"/>
    <xf numFmtId="0" fontId="71" fillId="0" borderId="0" xfId="0" applyFont="1" applyFill="1"/>
    <xf numFmtId="43" fontId="71" fillId="0" borderId="0" xfId="3" applyNumberFormat="1" applyFont="1"/>
    <xf numFmtId="0" fontId="55" fillId="4" borderId="2" xfId="0" applyFont="1" applyFill="1" applyBorder="1" applyAlignment="1" applyProtection="1">
      <alignment horizontal="left"/>
    </xf>
    <xf numFmtId="0" fontId="55" fillId="4" borderId="5" xfId="0" applyFont="1" applyFill="1" applyBorder="1" applyAlignment="1" applyProtection="1">
      <alignment horizontal="left"/>
    </xf>
    <xf numFmtId="167" fontId="3" fillId="15" borderId="61" xfId="0" applyNumberFormat="1" applyFont="1" applyFill="1" applyBorder="1" applyAlignment="1" applyProtection="1">
      <alignment vertical="center"/>
    </xf>
    <xf numFmtId="167" fontId="3" fillId="15" borderId="3" xfId="0" applyNumberFormat="1" applyFont="1" applyFill="1" applyBorder="1" applyAlignment="1" applyProtection="1">
      <alignment vertical="center"/>
    </xf>
    <xf numFmtId="167" fontId="3" fillId="15" borderId="6" xfId="0" applyNumberFormat="1" applyFont="1" applyFill="1" applyBorder="1" applyAlignment="1" applyProtection="1">
      <alignment vertical="center"/>
    </xf>
    <xf numFmtId="0" fontId="10" fillId="4" borderId="7" xfId="0" applyFont="1" applyFill="1" applyBorder="1" applyAlignment="1" applyProtection="1">
      <alignment vertical="center" wrapText="1"/>
      <protection locked="0"/>
    </xf>
    <xf numFmtId="0" fontId="10" fillId="4" borderId="8" xfId="0" applyFont="1" applyFill="1" applyBorder="1" applyAlignment="1" applyProtection="1">
      <alignment vertical="center" wrapText="1"/>
      <protection locked="0"/>
    </xf>
    <xf numFmtId="0" fontId="10" fillId="4" borderId="9" xfId="0" applyFont="1" applyFill="1" applyBorder="1" applyAlignment="1" applyProtection="1">
      <alignment vertical="center" wrapText="1"/>
      <protection locked="0"/>
    </xf>
    <xf numFmtId="0" fontId="10" fillId="4" borderId="13" xfId="0" applyFont="1" applyFill="1" applyBorder="1" applyAlignment="1" applyProtection="1">
      <alignment vertical="center" wrapText="1"/>
      <protection locked="0"/>
    </xf>
    <xf numFmtId="0" fontId="10" fillId="4" borderId="0" xfId="0" applyFont="1" applyFill="1" applyBorder="1" applyAlignment="1" applyProtection="1">
      <alignment vertical="center" wrapText="1"/>
      <protection locked="0"/>
    </xf>
    <xf numFmtId="0" fontId="10" fillId="4" borderId="14" xfId="0" applyFont="1" applyFill="1" applyBorder="1" applyAlignment="1" applyProtection="1">
      <alignment vertical="center" wrapText="1"/>
      <protection locked="0"/>
    </xf>
    <xf numFmtId="0" fontId="10" fillId="4" borderId="10" xfId="0" applyFont="1" applyFill="1" applyBorder="1" applyAlignment="1" applyProtection="1">
      <alignment vertical="center" wrapText="1"/>
      <protection locked="0"/>
    </xf>
    <xf numFmtId="0" fontId="10" fillId="4" borderId="11" xfId="0" applyFont="1" applyFill="1" applyBorder="1" applyAlignment="1" applyProtection="1">
      <alignment vertical="center" wrapText="1"/>
      <protection locked="0"/>
    </xf>
    <xf numFmtId="0" fontId="10" fillId="4" borderId="12" xfId="0" applyFont="1" applyFill="1" applyBorder="1" applyAlignment="1" applyProtection="1">
      <alignment vertical="center" wrapText="1"/>
      <protection locked="0"/>
    </xf>
    <xf numFmtId="0" fontId="0" fillId="4" borderId="26" xfId="0" quotePrefix="1" applyFill="1" applyBorder="1" applyAlignment="1" applyProtection="1">
      <alignment horizontal="left" vertical="center"/>
      <protection locked="0"/>
    </xf>
    <xf numFmtId="0" fontId="0" fillId="4" borderId="28" xfId="0" applyFill="1" applyBorder="1" applyAlignment="1" applyProtection="1">
      <alignment horizontal="left" vertical="center"/>
      <protection locked="0"/>
    </xf>
    <xf numFmtId="0" fontId="0" fillId="4" borderId="27" xfId="0" applyFill="1" applyBorder="1" applyAlignment="1" applyProtection="1">
      <alignment horizontal="left" vertical="center"/>
      <protection locked="0"/>
    </xf>
    <xf numFmtId="49" fontId="0" fillId="4" borderId="26" xfId="0" quotePrefix="1" applyNumberFormat="1" applyFill="1" applyBorder="1" applyAlignment="1" applyProtection="1">
      <alignment horizontal="left" vertical="center"/>
      <protection locked="0"/>
    </xf>
    <xf numFmtId="49" fontId="0" fillId="4" borderId="28" xfId="0" applyNumberFormat="1" applyFill="1" applyBorder="1" applyAlignment="1" applyProtection="1">
      <alignment horizontal="left" vertical="center"/>
      <protection locked="0"/>
    </xf>
    <xf numFmtId="49" fontId="0" fillId="4" borderId="27" xfId="0" applyNumberFormat="1" applyFill="1" applyBorder="1" applyAlignment="1" applyProtection="1">
      <alignment horizontal="left" vertical="center"/>
      <protection locked="0"/>
    </xf>
    <xf numFmtId="0" fontId="0" fillId="4" borderId="26" xfId="0" applyFill="1" applyBorder="1" applyAlignment="1" applyProtection="1">
      <alignment horizontal="left" vertical="center"/>
      <protection locked="0"/>
    </xf>
    <xf numFmtId="0" fontId="0" fillId="4" borderId="38" xfId="0" applyFill="1" applyBorder="1" applyAlignment="1" applyProtection="1">
      <alignment horizontal="left" vertical="center"/>
      <protection locked="0"/>
    </xf>
    <xf numFmtId="0" fontId="37" fillId="11" borderId="0" xfId="0" applyFont="1" applyFill="1" applyBorder="1" applyAlignment="1" applyProtection="1">
      <alignment horizontal="center" vertical="center" wrapText="1"/>
      <protection hidden="1"/>
    </xf>
    <xf numFmtId="0" fontId="0" fillId="0" borderId="0" xfId="0" applyAlignment="1"/>
    <xf numFmtId="0" fontId="0" fillId="0" borderId="11" xfId="0" applyBorder="1" applyAlignment="1"/>
    <xf numFmtId="0" fontId="0" fillId="0" borderId="13" xfId="0" applyBorder="1" applyAlignment="1" applyProtection="1">
      <alignment horizontal="center"/>
      <protection hidden="1"/>
    </xf>
    <xf numFmtId="0" fontId="0" fillId="0" borderId="0" xfId="0" applyBorder="1" applyAlignment="1" applyProtection="1">
      <alignment horizontal="center"/>
      <protection hidden="1"/>
    </xf>
    <xf numFmtId="0" fontId="7" fillId="0" borderId="0" xfId="0" applyFont="1" applyBorder="1" applyAlignment="1" applyProtection="1">
      <alignment horizontal="center"/>
      <protection hidden="1"/>
    </xf>
    <xf numFmtId="0" fontId="7" fillId="0" borderId="14" xfId="0" applyFont="1" applyBorder="1" applyAlignment="1" applyProtection="1">
      <alignment horizontal="center"/>
      <protection hidden="1"/>
    </xf>
    <xf numFmtId="0" fontId="30" fillId="11" borderId="20" xfId="0" applyFont="1" applyFill="1" applyBorder="1" applyAlignment="1" applyProtection="1">
      <alignment horizontal="right"/>
      <protection hidden="1"/>
    </xf>
    <xf numFmtId="0" fontId="30" fillId="11" borderId="21" xfId="0" applyFont="1" applyFill="1" applyBorder="1" applyAlignment="1" applyProtection="1">
      <alignment horizontal="right"/>
      <protection hidden="1"/>
    </xf>
    <xf numFmtId="0" fontId="7" fillId="13" borderId="0" xfId="0" applyFont="1" applyFill="1" applyBorder="1" applyAlignment="1" applyProtection="1">
      <alignment horizontal="right"/>
      <protection hidden="1"/>
    </xf>
    <xf numFmtId="0" fontId="7" fillId="13" borderId="14" xfId="0" applyFont="1" applyFill="1" applyBorder="1" applyAlignment="1" applyProtection="1">
      <alignment horizontal="right"/>
      <protection hidden="1"/>
    </xf>
    <xf numFmtId="0" fontId="7" fillId="0" borderId="0" xfId="0" applyFont="1" applyFill="1" applyBorder="1" applyAlignment="1" applyProtection="1">
      <alignment horizontal="right"/>
      <protection hidden="1"/>
    </xf>
    <xf numFmtId="0" fontId="7" fillId="0" borderId="14" xfId="0" applyFont="1" applyFill="1" applyBorder="1" applyAlignment="1" applyProtection="1">
      <alignment horizontal="right"/>
      <protection hidden="1"/>
    </xf>
    <xf numFmtId="0" fontId="39" fillId="6" borderId="66" xfId="1" applyFont="1" applyFill="1" applyBorder="1" applyAlignment="1" applyProtection="1">
      <alignment horizontal="center" vertical="center" wrapText="1"/>
      <protection locked="0"/>
    </xf>
    <xf numFmtId="0" fontId="39" fillId="6" borderId="24" xfId="1" applyFont="1" applyFill="1" applyBorder="1" applyAlignment="1" applyProtection="1">
      <alignment horizontal="center" vertical="center" wrapText="1"/>
      <protection locked="0"/>
    </xf>
    <xf numFmtId="0" fontId="39" fillId="6" borderId="25" xfId="1" applyFont="1" applyFill="1" applyBorder="1" applyAlignment="1" applyProtection="1">
      <alignment horizontal="center" vertical="center" wrapText="1"/>
      <protection locked="0"/>
    </xf>
    <xf numFmtId="0" fontId="39" fillId="6" borderId="23" xfId="1" applyFont="1" applyFill="1" applyBorder="1" applyAlignment="1" applyProtection="1">
      <alignment horizontal="center" vertical="center" wrapText="1"/>
      <protection locked="0"/>
    </xf>
    <xf numFmtId="0" fontId="39" fillId="6" borderId="67" xfId="1" applyFont="1" applyFill="1" applyBorder="1" applyAlignment="1" applyProtection="1">
      <alignment horizontal="center" vertical="center" wrapText="1"/>
      <protection locked="0"/>
    </xf>
    <xf numFmtId="0" fontId="49" fillId="4" borderId="26" xfId="4" applyFill="1" applyBorder="1" applyAlignment="1" applyProtection="1">
      <alignment horizontal="left" vertical="center"/>
      <protection locked="0"/>
    </xf>
    <xf numFmtId="0" fontId="0" fillId="0" borderId="28" xfId="0" applyBorder="1" applyAlignment="1" applyProtection="1">
      <protection locked="0"/>
    </xf>
    <xf numFmtId="0" fontId="0" fillId="0" borderId="38" xfId="0" applyBorder="1" applyAlignment="1" applyProtection="1">
      <protection locked="0"/>
    </xf>
    <xf numFmtId="167" fontId="6" fillId="2" borderId="19" xfId="0" applyNumberFormat="1" applyFont="1" applyFill="1" applyBorder="1" applyAlignment="1" applyProtection="1">
      <alignment horizontal="center" vertical="center" wrapText="1"/>
      <protection hidden="1"/>
    </xf>
    <xf numFmtId="167" fontId="6" fillId="2" borderId="21" xfId="0" applyNumberFormat="1" applyFont="1" applyFill="1" applyBorder="1" applyAlignment="1" applyProtection="1">
      <alignment horizontal="center" vertical="center" wrapText="1"/>
      <protection hidden="1"/>
    </xf>
    <xf numFmtId="0" fontId="16" fillId="3" borderId="26" xfId="0" applyFont="1" applyFill="1" applyBorder="1" applyAlignment="1" applyProtection="1">
      <alignment horizontal="center" vertical="top" wrapText="1"/>
      <protection hidden="1"/>
    </xf>
    <xf numFmtId="0" fontId="16" fillId="3" borderId="28" xfId="0" applyFont="1" applyFill="1" applyBorder="1" applyAlignment="1" applyProtection="1">
      <alignment horizontal="center" vertical="top" wrapText="1"/>
      <protection hidden="1"/>
    </xf>
    <xf numFmtId="0" fontId="16" fillId="3" borderId="38" xfId="0" applyFont="1" applyFill="1" applyBorder="1" applyAlignment="1" applyProtection="1">
      <alignment horizontal="center" vertical="top" wrapText="1"/>
      <protection hidden="1"/>
    </xf>
    <xf numFmtId="167" fontId="6" fillId="2" borderId="10" xfId="0" applyNumberFormat="1" applyFont="1" applyFill="1" applyBorder="1" applyAlignment="1" applyProtection="1">
      <alignment horizontal="center" vertical="center" wrapText="1"/>
      <protection hidden="1"/>
    </xf>
    <xf numFmtId="167" fontId="6" fillId="2" borderId="11" xfId="0" applyNumberFormat="1" applyFont="1" applyFill="1" applyBorder="1" applyAlignment="1" applyProtection="1">
      <alignment horizontal="center" vertical="center" wrapText="1"/>
      <protection hidden="1"/>
    </xf>
    <xf numFmtId="0" fontId="14" fillId="6" borderId="37" xfId="0" applyFont="1" applyFill="1" applyBorder="1" applyAlignment="1" applyProtection="1">
      <alignment horizontal="center" vertical="center" wrapText="1"/>
      <protection locked="0"/>
    </xf>
    <xf numFmtId="0" fontId="14" fillId="6" borderId="28" xfId="0" applyFont="1" applyFill="1" applyBorder="1" applyAlignment="1" applyProtection="1">
      <alignment horizontal="center" vertical="center" wrapText="1"/>
      <protection locked="0"/>
    </xf>
    <xf numFmtId="0" fontId="14" fillId="6" borderId="27" xfId="0" applyFont="1" applyFill="1" applyBorder="1" applyAlignment="1" applyProtection="1">
      <alignment horizontal="center" vertical="center" wrapText="1"/>
      <protection locked="0"/>
    </xf>
    <xf numFmtId="0" fontId="0" fillId="4" borderId="26" xfId="0" applyFill="1" applyBorder="1" applyAlignment="1" applyProtection="1">
      <alignment vertical="center"/>
      <protection locked="0"/>
    </xf>
    <xf numFmtId="0" fontId="0" fillId="4" borderId="28" xfId="0" applyFill="1" applyBorder="1" applyAlignment="1" applyProtection="1">
      <alignment vertical="center"/>
      <protection locked="0"/>
    </xf>
    <xf numFmtId="0" fontId="0" fillId="4" borderId="27" xfId="0" applyFill="1" applyBorder="1" applyAlignment="1" applyProtection="1">
      <alignment vertical="center"/>
      <protection locked="0"/>
    </xf>
    <xf numFmtId="0" fontId="30" fillId="11" borderId="7" xfId="0" applyFont="1" applyFill="1" applyBorder="1" applyAlignment="1" applyProtection="1">
      <alignment horizontal="left" vertical="top" wrapText="1"/>
      <protection hidden="1"/>
    </xf>
    <xf numFmtId="0" fontId="30" fillId="11" borderId="8" xfId="0" applyFont="1" applyFill="1" applyBorder="1" applyAlignment="1" applyProtection="1">
      <alignment horizontal="left" vertical="top" wrapText="1"/>
      <protection hidden="1"/>
    </xf>
    <xf numFmtId="0" fontId="13" fillId="3" borderId="39" xfId="0" applyFont="1" applyFill="1" applyBorder="1" applyAlignment="1" applyProtection="1">
      <alignment horizontal="left" vertical="center" wrapText="1"/>
      <protection hidden="1"/>
    </xf>
    <xf numFmtId="0" fontId="13" fillId="3" borderId="31" xfId="0" applyFont="1" applyFill="1" applyBorder="1" applyAlignment="1" applyProtection="1">
      <alignment horizontal="left" vertical="center" wrapText="1"/>
      <protection hidden="1"/>
    </xf>
    <xf numFmtId="0" fontId="13" fillId="3" borderId="32" xfId="0" applyFont="1" applyFill="1" applyBorder="1" applyAlignment="1" applyProtection="1">
      <alignment horizontal="left" vertical="center" wrapText="1"/>
      <protection hidden="1"/>
    </xf>
    <xf numFmtId="0" fontId="13" fillId="3" borderId="13" xfId="0" applyFont="1" applyFill="1" applyBorder="1" applyAlignment="1" applyProtection="1">
      <alignment horizontal="left" vertical="center" wrapText="1"/>
      <protection hidden="1"/>
    </xf>
    <xf numFmtId="0" fontId="13" fillId="3" borderId="0" xfId="0" applyFont="1" applyFill="1" applyBorder="1" applyAlignment="1" applyProtection="1">
      <alignment horizontal="left" vertical="center" wrapText="1"/>
      <protection hidden="1"/>
    </xf>
    <xf numFmtId="0" fontId="13" fillId="3" borderId="36" xfId="0" applyFont="1" applyFill="1" applyBorder="1" applyAlignment="1" applyProtection="1">
      <alignment horizontal="left" vertical="center" wrapText="1"/>
      <protection hidden="1"/>
    </xf>
    <xf numFmtId="0" fontId="13" fillId="3" borderId="41" xfId="0" applyFont="1" applyFill="1" applyBorder="1" applyAlignment="1" applyProtection="1">
      <alignment horizontal="left" vertical="center" wrapText="1"/>
      <protection hidden="1"/>
    </xf>
    <xf numFmtId="0" fontId="13" fillId="3" borderId="34" xfId="0" applyFont="1" applyFill="1" applyBorder="1" applyAlignment="1" applyProtection="1">
      <alignment horizontal="left" vertical="center" wrapText="1"/>
      <protection hidden="1"/>
    </xf>
    <xf numFmtId="0" fontId="13" fillId="3" borderId="35" xfId="0" applyFont="1" applyFill="1" applyBorder="1" applyAlignment="1" applyProtection="1">
      <alignment horizontal="left" vertical="center" wrapText="1"/>
      <protection hidden="1"/>
    </xf>
    <xf numFmtId="0" fontId="4" fillId="3" borderId="26" xfId="0" applyFont="1" applyFill="1" applyBorder="1" applyAlignment="1" applyProtection="1">
      <alignment horizontal="center" vertical="center" wrapText="1"/>
      <protection hidden="1"/>
    </xf>
    <xf numFmtId="0" fontId="4" fillId="3" borderId="28" xfId="0" applyFont="1" applyFill="1" applyBorder="1" applyAlignment="1" applyProtection="1">
      <alignment horizontal="center" vertical="center" wrapText="1"/>
      <protection hidden="1"/>
    </xf>
    <xf numFmtId="0" fontId="13" fillId="3" borderId="28" xfId="0" applyFont="1" applyFill="1" applyBorder="1" applyAlignment="1" applyProtection="1">
      <alignment horizontal="left" vertical="center" wrapText="1"/>
      <protection hidden="1"/>
    </xf>
    <xf numFmtId="0" fontId="13" fillId="3" borderId="38" xfId="0" applyFont="1" applyFill="1" applyBorder="1" applyAlignment="1" applyProtection="1">
      <alignment horizontal="left" vertical="center" wrapText="1"/>
      <protection hidden="1"/>
    </xf>
    <xf numFmtId="0" fontId="13" fillId="3" borderId="30" xfId="0" applyFont="1" applyFill="1" applyBorder="1" applyAlignment="1" applyProtection="1">
      <alignment horizontal="left" vertical="center" wrapText="1"/>
      <protection hidden="1"/>
    </xf>
    <xf numFmtId="0" fontId="13" fillId="3" borderId="40" xfId="0" applyFont="1" applyFill="1" applyBorder="1" applyAlignment="1" applyProtection="1">
      <alignment horizontal="left" vertical="center" wrapText="1"/>
      <protection hidden="1"/>
    </xf>
    <xf numFmtId="0" fontId="13" fillId="3" borderId="29" xfId="0" applyFont="1" applyFill="1" applyBorder="1" applyAlignment="1" applyProtection="1">
      <alignment horizontal="left" vertical="center" wrapText="1"/>
      <protection hidden="1"/>
    </xf>
    <xf numFmtId="0" fontId="13" fillId="3" borderId="14" xfId="0" applyFont="1" applyFill="1" applyBorder="1" applyAlignment="1" applyProtection="1">
      <alignment horizontal="left" vertical="center" wrapText="1"/>
      <protection hidden="1"/>
    </xf>
    <xf numFmtId="0" fontId="13" fillId="3" borderId="33" xfId="0" applyFont="1" applyFill="1" applyBorder="1" applyAlignment="1" applyProtection="1">
      <alignment horizontal="left" vertical="center" wrapText="1"/>
      <protection hidden="1"/>
    </xf>
    <xf numFmtId="0" fontId="13" fillId="3" borderId="42" xfId="0" applyFont="1" applyFill="1" applyBorder="1" applyAlignment="1" applyProtection="1">
      <alignment horizontal="left" vertical="center" wrapText="1"/>
      <protection hidden="1"/>
    </xf>
    <xf numFmtId="0" fontId="52" fillId="0" borderId="0" xfId="0" applyFont="1" applyAlignment="1" applyProtection="1">
      <alignment horizontal="left" vertical="center" wrapText="1"/>
      <protection hidden="1"/>
    </xf>
    <xf numFmtId="0" fontId="52" fillId="0" borderId="11" xfId="0" applyFont="1" applyBorder="1" applyAlignment="1" applyProtection="1">
      <alignment horizontal="left" vertical="center" wrapText="1"/>
      <protection hidden="1"/>
    </xf>
    <xf numFmtId="167" fontId="30" fillId="11" borderId="7" xfId="0" applyNumberFormat="1" applyFont="1" applyFill="1" applyBorder="1" applyAlignment="1" applyProtection="1">
      <alignment horizontal="center" vertical="center" wrapText="1"/>
      <protection hidden="1"/>
    </xf>
    <xf numFmtId="167" fontId="30" fillId="11" borderId="8" xfId="0" applyNumberFormat="1" applyFont="1" applyFill="1" applyBorder="1" applyAlignment="1" applyProtection="1">
      <alignment horizontal="center" vertical="center" wrapText="1"/>
      <protection hidden="1"/>
    </xf>
    <xf numFmtId="167" fontId="30" fillId="11" borderId="9" xfId="0" applyNumberFormat="1" applyFont="1" applyFill="1" applyBorder="1" applyAlignment="1" applyProtection="1">
      <alignment horizontal="center" vertical="center" wrapText="1"/>
      <protection hidden="1"/>
    </xf>
    <xf numFmtId="167" fontId="30" fillId="11" borderId="10" xfId="0" applyNumberFormat="1" applyFont="1" applyFill="1" applyBorder="1" applyAlignment="1" applyProtection="1">
      <alignment horizontal="center" vertical="center" wrapText="1"/>
      <protection hidden="1"/>
    </xf>
    <xf numFmtId="167" fontId="30" fillId="11" borderId="11" xfId="0" applyNumberFormat="1" applyFont="1" applyFill="1" applyBorder="1" applyAlignment="1" applyProtection="1">
      <alignment horizontal="center" vertical="center" wrapText="1"/>
      <protection hidden="1"/>
    </xf>
    <xf numFmtId="167" fontId="30" fillId="11" borderId="12" xfId="0" applyNumberFormat="1" applyFont="1" applyFill="1" applyBorder="1" applyAlignment="1" applyProtection="1">
      <alignment horizontal="center" vertical="center" wrapText="1"/>
      <protection hidden="1"/>
    </xf>
    <xf numFmtId="5" fontId="6" fillId="2" borderId="19" xfId="0" applyNumberFormat="1" applyFont="1" applyFill="1" applyBorder="1" applyAlignment="1" applyProtection="1">
      <alignment horizontal="center" vertical="center" wrapText="1"/>
      <protection hidden="1"/>
    </xf>
    <xf numFmtId="5" fontId="6" fillId="2" borderId="63" xfId="0" applyNumberFormat="1" applyFont="1" applyFill="1" applyBorder="1" applyAlignment="1" applyProtection="1">
      <alignment horizontal="center" vertical="center" wrapText="1"/>
      <protection hidden="1"/>
    </xf>
    <xf numFmtId="0" fontId="36" fillId="2" borderId="19" xfId="0" applyFont="1" applyFill="1" applyBorder="1" applyAlignment="1" applyProtection="1">
      <alignment horizontal="center" vertical="center" wrapText="1"/>
      <protection hidden="1"/>
    </xf>
    <xf numFmtId="0" fontId="36" fillId="2" borderId="21" xfId="0" applyFont="1" applyFill="1" applyBorder="1" applyAlignment="1" applyProtection="1">
      <alignment horizontal="center" vertical="center" wrapText="1"/>
      <protection hidden="1"/>
    </xf>
    <xf numFmtId="0" fontId="38" fillId="2" borderId="19" xfId="0" applyFont="1" applyFill="1" applyBorder="1" applyAlignment="1">
      <alignment horizontal="left" vertical="center" wrapText="1"/>
    </xf>
    <xf numFmtId="0" fontId="38" fillId="2" borderId="20" xfId="0" applyFont="1" applyFill="1" applyBorder="1" applyAlignment="1">
      <alignment horizontal="left" vertical="center" wrapText="1"/>
    </xf>
    <xf numFmtId="0" fontId="3" fillId="0" borderId="26" xfId="0" applyFont="1" applyBorder="1" applyAlignment="1" applyProtection="1">
      <alignment horizontal="left" vertical="center"/>
      <protection locked="0"/>
    </xf>
    <xf numFmtId="0" fontId="3" fillId="0" borderId="28" xfId="0" applyFont="1" applyBorder="1" applyAlignment="1" applyProtection="1">
      <alignment horizontal="left" vertical="center"/>
      <protection locked="0"/>
    </xf>
    <xf numFmtId="0" fontId="3" fillId="0" borderId="38" xfId="0" applyFont="1" applyBorder="1" applyAlignment="1" applyProtection="1">
      <alignment horizontal="left" vertical="center"/>
      <protection locked="0"/>
    </xf>
    <xf numFmtId="0" fontId="36" fillId="2" borderId="19" xfId="0" applyFont="1" applyFill="1" applyBorder="1" applyAlignment="1">
      <alignment horizontal="center" vertical="center" wrapText="1"/>
    </xf>
    <xf numFmtId="0" fontId="36" fillId="2" borderId="20" xfId="0" applyFont="1" applyFill="1" applyBorder="1" applyAlignment="1">
      <alignment horizontal="center" vertical="center" wrapText="1"/>
    </xf>
    <xf numFmtId="0" fontId="36" fillId="2" borderId="21" xfId="0" applyFont="1" applyFill="1" applyBorder="1" applyAlignment="1">
      <alignment horizontal="center" vertical="center" wrapText="1"/>
    </xf>
    <xf numFmtId="0" fontId="3" fillId="0" borderId="59" xfId="0" applyFont="1" applyBorder="1" applyAlignment="1" applyProtection="1">
      <alignment horizontal="left" vertical="center"/>
      <protection locked="0"/>
    </xf>
    <xf numFmtId="0" fontId="3" fillId="0" borderId="73" xfId="0" applyFont="1" applyBorder="1" applyAlignment="1" applyProtection="1">
      <alignment horizontal="left" vertical="center"/>
      <protection locked="0"/>
    </xf>
    <xf numFmtId="0" fontId="3" fillId="0" borderId="72" xfId="0" applyFont="1" applyBorder="1" applyAlignment="1" applyProtection="1">
      <alignment horizontal="left" vertical="center"/>
      <protection locked="0"/>
    </xf>
    <xf numFmtId="2" fontId="30" fillId="11" borderId="7" xfId="0" applyNumberFormat="1" applyFont="1" applyFill="1" applyBorder="1" applyAlignment="1" applyProtection="1">
      <alignment horizontal="center" vertical="center" wrapText="1"/>
      <protection hidden="1"/>
    </xf>
    <xf numFmtId="0" fontId="30" fillId="11" borderId="8" xfId="0" applyFont="1" applyFill="1" applyBorder="1" applyAlignment="1" applyProtection="1">
      <alignment horizontal="center" vertical="center" wrapText="1"/>
      <protection hidden="1"/>
    </xf>
    <xf numFmtId="0" fontId="41" fillId="11" borderId="8" xfId="0" applyFont="1" applyFill="1" applyBorder="1" applyAlignment="1" applyProtection="1">
      <alignment wrapText="1"/>
      <protection hidden="1"/>
    </xf>
    <xf numFmtId="0" fontId="41" fillId="11" borderId="9" xfId="0" applyFont="1" applyFill="1" applyBorder="1" applyAlignment="1" applyProtection="1">
      <alignment wrapText="1"/>
      <protection hidden="1"/>
    </xf>
    <xf numFmtId="0" fontId="30" fillId="11" borderId="10" xfId="0" applyFont="1" applyFill="1" applyBorder="1" applyAlignment="1" applyProtection="1">
      <alignment horizontal="center" vertical="center" wrapText="1"/>
      <protection hidden="1"/>
    </xf>
    <xf numFmtId="0" fontId="30" fillId="11" borderId="11" xfId="0" applyFont="1" applyFill="1" applyBorder="1" applyAlignment="1" applyProtection="1">
      <alignment horizontal="center" vertical="center" wrapText="1"/>
      <protection hidden="1"/>
    </xf>
    <xf numFmtId="0" fontId="41" fillId="11" borderId="11" xfId="0" applyFont="1" applyFill="1" applyBorder="1" applyAlignment="1" applyProtection="1">
      <alignment wrapText="1"/>
      <protection hidden="1"/>
    </xf>
    <xf numFmtId="0" fontId="41" fillId="11" borderId="12" xfId="0" applyFont="1" applyFill="1" applyBorder="1" applyAlignment="1" applyProtection="1">
      <alignment wrapText="1"/>
      <protection hidden="1"/>
    </xf>
    <xf numFmtId="0" fontId="4" fillId="6" borderId="37" xfId="0" applyFont="1" applyFill="1" applyBorder="1" applyAlignment="1" applyProtection="1">
      <alignment horizontal="center" vertical="center" wrapText="1"/>
      <protection locked="0"/>
    </xf>
    <xf numFmtId="0" fontId="4" fillId="6" borderId="28" xfId="0" applyFont="1" applyFill="1" applyBorder="1" applyAlignment="1" applyProtection="1">
      <alignment horizontal="center" vertical="center" wrapText="1"/>
      <protection locked="0"/>
    </xf>
    <xf numFmtId="0" fontId="4" fillId="6" borderId="27" xfId="0" applyFont="1" applyFill="1" applyBorder="1" applyAlignment="1" applyProtection="1">
      <alignment horizontal="center" vertical="center" wrapText="1"/>
      <protection locked="0"/>
    </xf>
    <xf numFmtId="0" fontId="18" fillId="0" borderId="31" xfId="0" applyFont="1" applyFill="1" applyBorder="1" applyAlignment="1" applyProtection="1">
      <alignment horizontal="left" vertical="top" wrapText="1"/>
      <protection hidden="1"/>
    </xf>
    <xf numFmtId="0" fontId="18" fillId="0" borderId="40" xfId="0" applyFont="1" applyFill="1" applyBorder="1" applyAlignment="1" applyProtection="1">
      <alignment horizontal="left" vertical="top" wrapText="1"/>
      <protection hidden="1"/>
    </xf>
    <xf numFmtId="167" fontId="6" fillId="2" borderId="20" xfId="0" applyNumberFormat="1" applyFont="1" applyFill="1" applyBorder="1" applyAlignment="1" applyProtection="1">
      <alignment horizontal="center" vertical="center" wrapText="1"/>
      <protection hidden="1"/>
    </xf>
    <xf numFmtId="0" fontId="30" fillId="11" borderId="7" xfId="0" applyFont="1" applyFill="1" applyBorder="1" applyAlignment="1" applyProtection="1">
      <alignment horizontal="left" vertical="center" wrapText="1"/>
      <protection hidden="1"/>
    </xf>
    <xf numFmtId="0" fontId="30" fillId="11" borderId="8" xfId="0" applyFont="1" applyFill="1" applyBorder="1" applyAlignment="1" applyProtection="1">
      <alignment horizontal="left" vertical="center" wrapText="1"/>
      <protection hidden="1"/>
    </xf>
    <xf numFmtId="0" fontId="30" fillId="11" borderId="9" xfId="0" applyFont="1" applyFill="1" applyBorder="1" applyAlignment="1" applyProtection="1">
      <alignment horizontal="left" vertical="center" wrapText="1"/>
      <protection hidden="1"/>
    </xf>
    <xf numFmtId="0" fontId="30" fillId="11" borderId="10" xfId="0" applyFont="1" applyFill="1" applyBorder="1" applyAlignment="1" applyProtection="1">
      <alignment horizontal="left" vertical="center" wrapText="1"/>
      <protection hidden="1"/>
    </xf>
    <xf numFmtId="0" fontId="30" fillId="11" borderId="11" xfId="0" applyFont="1" applyFill="1" applyBorder="1" applyAlignment="1" applyProtection="1">
      <alignment horizontal="left" vertical="center" wrapText="1"/>
      <protection hidden="1"/>
    </xf>
    <xf numFmtId="0" fontId="30" fillId="11" borderId="12" xfId="0" applyFont="1" applyFill="1" applyBorder="1" applyAlignment="1" applyProtection="1">
      <alignment horizontal="left" vertical="center" wrapText="1"/>
      <protection hidden="1"/>
    </xf>
    <xf numFmtId="0" fontId="26" fillId="0" borderId="0" xfId="0" applyFont="1" applyAlignment="1">
      <alignment horizontal="left" vertical="top" wrapText="1"/>
    </xf>
    <xf numFmtId="0" fontId="0" fillId="0" borderId="8"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57" fillId="11" borderId="8" xfId="0" applyFont="1" applyFill="1" applyBorder="1" applyAlignment="1" applyProtection="1">
      <alignment horizontal="center" vertical="center" wrapText="1"/>
      <protection hidden="1"/>
    </xf>
    <xf numFmtId="0" fontId="58" fillId="0" borderId="8" xfId="0" applyFont="1" applyBorder="1" applyAlignment="1">
      <alignment horizontal="center" vertical="center" wrapText="1"/>
    </xf>
    <xf numFmtId="0" fontId="58" fillId="0" borderId="9" xfId="0" applyFont="1" applyBorder="1" applyAlignment="1">
      <alignment horizontal="center" vertical="center" wrapText="1"/>
    </xf>
    <xf numFmtId="0" fontId="58" fillId="0" borderId="11" xfId="0" applyFont="1" applyBorder="1" applyAlignment="1">
      <alignment horizontal="center" vertical="center" wrapText="1"/>
    </xf>
    <xf numFmtId="0" fontId="58" fillId="0" borderId="12" xfId="0" applyFont="1" applyBorder="1" applyAlignment="1">
      <alignment horizontal="center" vertical="center" wrapText="1"/>
    </xf>
    <xf numFmtId="44" fontId="14" fillId="7" borderId="26" xfId="0" applyNumberFormat="1" applyFont="1" applyFill="1" applyBorder="1" applyAlignment="1" applyProtection="1">
      <protection hidden="1"/>
    </xf>
    <xf numFmtId="44" fontId="14" fillId="7" borderId="38" xfId="0" applyNumberFormat="1" applyFont="1" applyFill="1" applyBorder="1" applyAlignment="1" applyProtection="1">
      <protection hidden="1"/>
    </xf>
    <xf numFmtId="44" fontId="14" fillId="7" borderId="48" xfId="0" applyNumberFormat="1" applyFont="1" applyFill="1" applyBorder="1" applyAlignment="1" applyProtection="1">
      <protection hidden="1"/>
    </xf>
    <xf numFmtId="44" fontId="14" fillId="7" borderId="75" xfId="0" applyNumberFormat="1" applyFont="1" applyFill="1" applyBorder="1" applyAlignment="1" applyProtection="1">
      <protection hidden="1"/>
    </xf>
    <xf numFmtId="44" fontId="14" fillId="16" borderId="41" xfId="0" applyNumberFormat="1" applyFont="1" applyFill="1" applyBorder="1" applyAlignment="1" applyProtection="1">
      <protection hidden="1"/>
    </xf>
    <xf numFmtId="44" fontId="14" fillId="16" borderId="42" xfId="0" applyNumberFormat="1" applyFont="1" applyFill="1" applyBorder="1" applyAlignment="1" applyProtection="1">
      <protection hidden="1"/>
    </xf>
    <xf numFmtId="167" fontId="6" fillId="2" borderId="10" xfId="0" applyNumberFormat="1" applyFont="1" applyFill="1" applyBorder="1" applyAlignment="1" applyProtection="1">
      <alignment horizontal="left" vertical="center" wrapText="1"/>
      <protection hidden="1"/>
    </xf>
    <xf numFmtId="167" fontId="6" fillId="2" borderId="11" xfId="0" applyNumberFormat="1" applyFont="1" applyFill="1" applyBorder="1" applyAlignment="1" applyProtection="1">
      <alignment horizontal="left" vertical="center" wrapText="1"/>
      <protection hidden="1"/>
    </xf>
    <xf numFmtId="0" fontId="30" fillId="11" borderId="7" xfId="0" applyFont="1" applyFill="1" applyBorder="1" applyAlignment="1">
      <alignment horizontal="left" vertical="center" wrapText="1"/>
    </xf>
    <xf numFmtId="0" fontId="30" fillId="11" borderId="8" xfId="0" applyFont="1" applyFill="1" applyBorder="1" applyAlignment="1">
      <alignment horizontal="left" vertical="center" wrapText="1"/>
    </xf>
    <xf numFmtId="0" fontId="30" fillId="11" borderId="9" xfId="0" applyFont="1" applyFill="1" applyBorder="1" applyAlignment="1">
      <alignment horizontal="left" vertical="center" wrapText="1"/>
    </xf>
    <xf numFmtId="0" fontId="30" fillId="11" borderId="10" xfId="0" applyFont="1" applyFill="1" applyBorder="1" applyAlignment="1">
      <alignment horizontal="left" vertical="center" wrapText="1"/>
    </xf>
    <xf numFmtId="0" fontId="30" fillId="11" borderId="11" xfId="0" applyFont="1" applyFill="1" applyBorder="1" applyAlignment="1">
      <alignment horizontal="left" vertical="center" wrapText="1"/>
    </xf>
    <xf numFmtId="0" fontId="30" fillId="11" borderId="12" xfId="0" applyFont="1" applyFill="1" applyBorder="1" applyAlignment="1">
      <alignment horizontal="left" vertical="center" wrapText="1"/>
    </xf>
    <xf numFmtId="167" fontId="6" fillId="3" borderId="1" xfId="0" applyNumberFormat="1" applyFont="1" applyFill="1" applyBorder="1" applyAlignment="1" applyProtection="1">
      <alignment horizontal="left" vertical="center"/>
      <protection hidden="1"/>
    </xf>
    <xf numFmtId="0" fontId="0" fillId="0" borderId="2" xfId="0" applyBorder="1" applyAlignment="1"/>
    <xf numFmtId="44" fontId="14" fillId="3" borderId="59" xfId="0" applyNumberFormat="1" applyFont="1" applyFill="1" applyBorder="1" applyAlignment="1" applyProtection="1">
      <protection hidden="1"/>
    </xf>
    <xf numFmtId="44" fontId="14" fillId="3" borderId="72" xfId="0" applyNumberFormat="1" applyFont="1" applyFill="1" applyBorder="1" applyAlignment="1" applyProtection="1">
      <protection hidden="1"/>
    </xf>
    <xf numFmtId="0" fontId="32" fillId="0" borderId="28" xfId="0" applyFont="1" applyBorder="1" applyAlignment="1">
      <alignment horizontal="left"/>
    </xf>
    <xf numFmtId="0" fontId="32" fillId="0" borderId="38" xfId="0" applyFont="1" applyBorder="1" applyAlignment="1">
      <alignment horizontal="left"/>
    </xf>
    <xf numFmtId="167" fontId="35" fillId="14" borderId="10" xfId="0" applyNumberFormat="1" applyFont="1" applyFill="1" applyBorder="1" applyAlignment="1" applyProtection="1">
      <alignment horizontal="left" vertical="center" wrapText="1"/>
      <protection hidden="1"/>
    </xf>
    <xf numFmtId="0" fontId="0" fillId="14" borderId="11" xfId="0" applyFill="1" applyBorder="1" applyAlignment="1"/>
    <xf numFmtId="0" fontId="0" fillId="14" borderId="12" xfId="0" applyFill="1" applyBorder="1" applyAlignment="1"/>
    <xf numFmtId="167" fontId="6" fillId="7" borderId="1" xfId="0" applyNumberFormat="1" applyFont="1" applyFill="1" applyBorder="1" applyAlignment="1" applyProtection="1">
      <alignment horizontal="left" vertical="center"/>
      <protection hidden="1"/>
    </xf>
    <xf numFmtId="0" fontId="0" fillId="7" borderId="2" xfId="0" applyFill="1" applyBorder="1" applyAlignment="1"/>
    <xf numFmtId="167" fontId="6" fillId="7" borderId="4" xfId="0" applyNumberFormat="1" applyFont="1" applyFill="1" applyBorder="1" applyAlignment="1" applyProtection="1">
      <alignment horizontal="left" vertical="center"/>
      <protection hidden="1"/>
    </xf>
    <xf numFmtId="0" fontId="0" fillId="7" borderId="5" xfId="0" applyFill="1" applyBorder="1" applyAlignment="1"/>
    <xf numFmtId="167" fontId="6" fillId="16" borderId="16" xfId="0" applyNumberFormat="1" applyFont="1" applyFill="1" applyBorder="1" applyAlignment="1" applyProtection="1">
      <alignment horizontal="left" vertical="center" wrapText="1"/>
      <protection hidden="1"/>
    </xf>
    <xf numFmtId="0" fontId="0" fillId="16" borderId="15" xfId="0" applyFill="1" applyBorder="1" applyAlignment="1"/>
    <xf numFmtId="0" fontId="0" fillId="16" borderId="33" xfId="0" applyFill="1" applyBorder="1" applyAlignment="1"/>
    <xf numFmtId="167" fontId="6" fillId="16" borderId="1" xfId="0" applyNumberFormat="1" applyFont="1" applyFill="1" applyBorder="1" applyAlignment="1" applyProtection="1">
      <alignment horizontal="left" vertical="center" wrapText="1"/>
      <protection hidden="1"/>
    </xf>
    <xf numFmtId="0" fontId="0" fillId="16" borderId="2" xfId="0" applyFill="1" applyBorder="1" applyAlignment="1"/>
    <xf numFmtId="0" fontId="32" fillId="0" borderId="26" xfId="0" applyFont="1" applyBorder="1" applyAlignment="1"/>
    <xf numFmtId="0" fontId="0" fillId="0" borderId="28" xfId="0" applyBorder="1" applyAlignment="1"/>
    <xf numFmtId="0" fontId="0" fillId="0" borderId="38" xfId="0" applyBorder="1" applyAlignment="1"/>
    <xf numFmtId="49" fontId="33" fillId="0" borderId="7" xfId="0" applyNumberFormat="1" applyFont="1" applyFill="1" applyBorder="1" applyAlignment="1" applyProtection="1">
      <alignment wrapText="1"/>
      <protection locked="0"/>
    </xf>
    <xf numFmtId="49" fontId="33" fillId="0" borderId="8" xfId="0" applyNumberFormat="1" applyFont="1" applyFill="1" applyBorder="1" applyAlignment="1" applyProtection="1">
      <alignment wrapText="1"/>
      <protection locked="0"/>
    </xf>
    <xf numFmtId="49" fontId="33" fillId="0" borderId="9" xfId="0" applyNumberFormat="1" applyFont="1" applyFill="1" applyBorder="1" applyAlignment="1" applyProtection="1">
      <alignment wrapText="1"/>
      <protection locked="0"/>
    </xf>
    <xf numFmtId="49" fontId="33" fillId="0" borderId="13" xfId="0" applyNumberFormat="1" applyFont="1" applyFill="1" applyBorder="1" applyAlignment="1" applyProtection="1">
      <alignment wrapText="1"/>
      <protection locked="0"/>
    </xf>
    <xf numFmtId="49" fontId="33" fillId="0" borderId="0" xfId="0" applyNumberFormat="1" applyFont="1" applyFill="1" applyBorder="1" applyAlignment="1" applyProtection="1">
      <alignment wrapText="1"/>
      <protection locked="0"/>
    </xf>
    <xf numFmtId="49" fontId="33" fillId="0" borderId="14" xfId="0" applyNumberFormat="1" applyFont="1" applyFill="1" applyBorder="1" applyAlignment="1" applyProtection="1">
      <alignment wrapText="1"/>
      <protection locked="0"/>
    </xf>
    <xf numFmtId="49" fontId="33" fillId="0" borderId="10" xfId="0" applyNumberFormat="1" applyFont="1" applyFill="1" applyBorder="1" applyAlignment="1" applyProtection="1">
      <alignment wrapText="1"/>
      <protection locked="0"/>
    </xf>
    <xf numFmtId="49" fontId="33" fillId="0" borderId="11" xfId="0" applyNumberFormat="1" applyFont="1" applyFill="1" applyBorder="1" applyAlignment="1" applyProtection="1">
      <alignment wrapText="1"/>
      <protection locked="0"/>
    </xf>
    <xf numFmtId="49" fontId="33" fillId="0" borderId="12" xfId="0" applyNumberFormat="1" applyFont="1" applyFill="1" applyBorder="1" applyAlignment="1" applyProtection="1">
      <alignment wrapText="1"/>
      <protection locked="0"/>
    </xf>
    <xf numFmtId="0" fontId="48" fillId="11" borderId="13" xfId="0" applyFont="1" applyFill="1" applyBorder="1" applyAlignment="1" applyProtection="1">
      <alignment horizontal="left" vertical="top" wrapText="1"/>
      <protection hidden="1"/>
    </xf>
    <xf numFmtId="0" fontId="48" fillId="11" borderId="0" xfId="0" applyFont="1" applyFill="1" applyBorder="1" applyAlignment="1" applyProtection="1">
      <alignment horizontal="left" vertical="top" wrapText="1"/>
      <protection hidden="1"/>
    </xf>
    <xf numFmtId="0" fontId="48" fillId="11" borderId="14" xfId="0" applyFont="1" applyFill="1" applyBorder="1" applyAlignment="1" applyProtection="1">
      <alignment horizontal="left" vertical="top" wrapText="1"/>
      <protection hidden="1"/>
    </xf>
    <xf numFmtId="0" fontId="48" fillId="11" borderId="10" xfId="0" applyFont="1" applyFill="1" applyBorder="1" applyAlignment="1" applyProtection="1">
      <alignment horizontal="left" vertical="top" wrapText="1"/>
      <protection hidden="1"/>
    </xf>
    <xf numFmtId="0" fontId="48" fillId="11" borderId="11" xfId="0" applyFont="1" applyFill="1" applyBorder="1" applyAlignment="1" applyProtection="1">
      <alignment horizontal="left" vertical="top" wrapText="1"/>
      <protection hidden="1"/>
    </xf>
    <xf numFmtId="0" fontId="48" fillId="11" borderId="12" xfId="0" applyFont="1" applyFill="1" applyBorder="1" applyAlignment="1" applyProtection="1">
      <alignment horizontal="left" vertical="top" wrapText="1"/>
      <protection hidden="1"/>
    </xf>
    <xf numFmtId="44" fontId="46" fillId="14" borderId="22" xfId="0" applyNumberFormat="1" applyFont="1" applyFill="1" applyBorder="1" applyAlignment="1" applyProtection="1">
      <protection hidden="1"/>
    </xf>
    <xf numFmtId="44" fontId="14" fillId="3" borderId="26" xfId="0" applyNumberFormat="1" applyFont="1" applyFill="1" applyBorder="1" applyAlignment="1" applyProtection="1">
      <protection hidden="1"/>
    </xf>
    <xf numFmtId="44" fontId="14" fillId="3" borderId="38" xfId="0" applyNumberFormat="1" applyFont="1" applyFill="1" applyBorder="1" applyAlignment="1" applyProtection="1">
      <protection hidden="1"/>
    </xf>
    <xf numFmtId="44" fontId="14" fillId="16" borderId="33" xfId="0" applyNumberFormat="1" applyFont="1" applyFill="1" applyBorder="1" applyAlignment="1" applyProtection="1">
      <protection hidden="1"/>
    </xf>
    <xf numFmtId="0" fontId="32" fillId="0" borderId="48" xfId="0" applyFont="1" applyBorder="1" applyAlignment="1"/>
    <xf numFmtId="0" fontId="0" fillId="0" borderId="49" xfId="0" applyBorder="1" applyAlignment="1"/>
    <xf numFmtId="0" fontId="0" fillId="0" borderId="75" xfId="0" applyBorder="1" applyAlignment="1"/>
    <xf numFmtId="0" fontId="19" fillId="7" borderId="7" xfId="0" applyFont="1" applyFill="1" applyBorder="1" applyAlignment="1" applyProtection="1">
      <alignment horizontal="center" vertical="top" wrapText="1"/>
      <protection hidden="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13" xfId="0" applyBorder="1" applyAlignment="1">
      <alignment horizontal="center" vertical="top" wrapText="1"/>
    </xf>
    <xf numFmtId="0" fontId="0" fillId="0" borderId="0" xfId="0" applyAlignment="1">
      <alignment horizontal="center" vertical="top" wrapText="1"/>
    </xf>
    <xf numFmtId="0" fontId="0" fillId="0" borderId="14" xfId="0" applyBorder="1" applyAlignment="1">
      <alignment horizontal="center"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3" fillId="0" borderId="48" xfId="0" applyFont="1" applyBorder="1" applyAlignment="1" applyProtection="1">
      <alignment horizontal="left" vertical="center"/>
      <protection locked="0"/>
    </xf>
    <xf numFmtId="0" fontId="3" fillId="0" borderId="49" xfId="0" applyFont="1" applyBorder="1" applyAlignment="1" applyProtection="1">
      <alignment horizontal="left" vertical="center"/>
      <protection locked="0"/>
    </xf>
    <xf numFmtId="0" fontId="3" fillId="0" borderId="75" xfId="0" applyFont="1" applyBorder="1" applyAlignment="1" applyProtection="1">
      <alignment horizontal="left" vertical="center"/>
      <protection locked="0"/>
    </xf>
    <xf numFmtId="0" fontId="22" fillId="11" borderId="68" xfId="0" applyFont="1" applyFill="1" applyBorder="1" applyAlignment="1" applyProtection="1">
      <alignment horizontal="left" vertical="top" wrapText="1"/>
      <protection hidden="1"/>
    </xf>
    <xf numFmtId="0" fontId="22" fillId="11" borderId="73" xfId="0" applyFont="1" applyFill="1" applyBorder="1" applyAlignment="1" applyProtection="1">
      <alignment horizontal="left" vertical="top" wrapText="1"/>
      <protection hidden="1"/>
    </xf>
    <xf numFmtId="0" fontId="22" fillId="11" borderId="72" xfId="0" applyFont="1" applyFill="1" applyBorder="1" applyAlignment="1" applyProtection="1">
      <alignment horizontal="left" vertical="top" wrapText="1"/>
      <protection hidden="1"/>
    </xf>
    <xf numFmtId="0" fontId="0" fillId="0" borderId="8" xfId="0" applyBorder="1" applyAlignment="1"/>
    <xf numFmtId="0" fontId="0" fillId="0" borderId="9" xfId="0" applyBorder="1" applyAlignment="1"/>
    <xf numFmtId="0" fontId="0" fillId="0" borderId="13" xfId="0" applyBorder="1" applyAlignment="1"/>
    <xf numFmtId="0" fontId="0" fillId="0" borderId="0" xfId="0" applyBorder="1" applyAlignment="1"/>
    <xf numFmtId="0" fontId="0" fillId="0" borderId="14" xfId="0" applyBorder="1" applyAlignment="1"/>
    <xf numFmtId="44" fontId="14" fillId="3" borderId="2" xfId="0" applyNumberFormat="1" applyFont="1" applyFill="1" applyBorder="1" applyAlignment="1" applyProtection="1">
      <protection hidden="1"/>
    </xf>
    <xf numFmtId="44" fontId="14" fillId="3" borderId="3" xfId="0" applyNumberFormat="1" applyFont="1" applyFill="1" applyBorder="1" applyAlignment="1" applyProtection="1">
      <protection hidden="1"/>
    </xf>
    <xf numFmtId="44" fontId="14" fillId="17" borderId="2" xfId="0" applyNumberFormat="1" applyFont="1" applyFill="1" applyBorder="1" applyAlignment="1" applyProtection="1">
      <protection hidden="1"/>
    </xf>
    <xf numFmtId="44" fontId="14" fillId="17" borderId="3" xfId="0" applyNumberFormat="1" applyFont="1" applyFill="1" applyBorder="1" applyAlignment="1" applyProtection="1">
      <protection hidden="1"/>
    </xf>
    <xf numFmtId="44" fontId="46" fillId="8" borderId="5" xfId="0" applyNumberFormat="1" applyFont="1" applyFill="1" applyBorder="1" applyAlignment="1" applyProtection="1">
      <protection hidden="1"/>
    </xf>
    <xf numFmtId="44" fontId="46" fillId="8" borderId="6" xfId="0" applyNumberFormat="1" applyFont="1" applyFill="1" applyBorder="1" applyAlignment="1" applyProtection="1">
      <protection hidden="1"/>
    </xf>
    <xf numFmtId="167" fontId="14" fillId="12" borderId="4" xfId="0" applyNumberFormat="1" applyFont="1" applyFill="1" applyBorder="1" applyAlignment="1" applyProtection="1">
      <alignment horizontal="left" vertical="center" wrapText="1"/>
      <protection hidden="1"/>
    </xf>
    <xf numFmtId="0" fontId="0" fillId="0" borderId="5" xfId="0" applyBorder="1" applyAlignment="1"/>
    <xf numFmtId="0" fontId="0" fillId="17" borderId="1" xfId="0" applyFill="1" applyBorder="1" applyAlignment="1"/>
    <xf numFmtId="0" fontId="0" fillId="17" borderId="2" xfId="0" applyFill="1" applyBorder="1" applyAlignment="1"/>
    <xf numFmtId="167" fontId="54" fillId="2" borderId="10" xfId="0" applyNumberFormat="1" applyFont="1" applyFill="1" applyBorder="1" applyAlignment="1" applyProtection="1">
      <alignment horizontal="left" vertical="center" wrapText="1"/>
      <protection hidden="1"/>
    </xf>
    <xf numFmtId="167" fontId="54" fillId="2" borderId="11" xfId="0" applyNumberFormat="1" applyFont="1" applyFill="1" applyBorder="1" applyAlignment="1" applyProtection="1">
      <alignment horizontal="left" vertical="center" wrapText="1"/>
      <protection hidden="1"/>
    </xf>
    <xf numFmtId="167" fontId="30" fillId="11" borderId="62" xfId="0" applyNumberFormat="1" applyFont="1" applyFill="1" applyBorder="1" applyAlignment="1" applyProtection="1">
      <alignment horizontal="center" vertical="center" wrapText="1"/>
      <protection hidden="1"/>
    </xf>
    <xf numFmtId="0" fontId="0" fillId="0" borderId="57" xfId="0" applyBorder="1" applyAlignment="1"/>
    <xf numFmtId="0" fontId="0" fillId="0" borderId="61" xfId="0" applyBorder="1" applyAlignment="1"/>
    <xf numFmtId="0" fontId="0" fillId="0" borderId="1" xfId="0" applyBorder="1" applyAlignment="1"/>
    <xf numFmtId="0" fontId="0" fillId="0" borderId="3" xfId="0" applyBorder="1" applyAlignment="1"/>
    <xf numFmtId="5" fontId="54" fillId="2" borderId="10" xfId="0" applyNumberFormat="1" applyFont="1" applyFill="1" applyBorder="1" applyAlignment="1" applyProtection="1">
      <alignment horizontal="center" vertical="center" wrapText="1"/>
      <protection hidden="1"/>
    </xf>
    <xf numFmtId="5" fontId="54" fillId="2" borderId="64" xfId="0" applyNumberFormat="1" applyFont="1" applyFill="1" applyBorder="1" applyAlignment="1" applyProtection="1">
      <alignment horizontal="center" vertical="center" wrapText="1"/>
      <protection hidden="1"/>
    </xf>
    <xf numFmtId="167" fontId="54" fillId="2" borderId="19" xfId="0" applyNumberFormat="1" applyFont="1" applyFill="1" applyBorder="1" applyAlignment="1" applyProtection="1">
      <alignment horizontal="center" vertical="center" wrapText="1"/>
      <protection hidden="1"/>
    </xf>
    <xf numFmtId="167" fontId="54" fillId="2" borderId="20" xfId="0" applyNumberFormat="1" applyFont="1" applyFill="1" applyBorder="1" applyAlignment="1" applyProtection="1">
      <alignment horizontal="center" vertical="center" wrapText="1"/>
      <protection hidden="1"/>
    </xf>
    <xf numFmtId="167" fontId="54" fillId="2" borderId="10" xfId="0" applyNumberFormat="1" applyFont="1" applyFill="1" applyBorder="1" applyAlignment="1" applyProtection="1">
      <alignment horizontal="center" vertical="center" wrapText="1"/>
      <protection hidden="1"/>
    </xf>
    <xf numFmtId="167" fontId="54" fillId="2" borderId="11" xfId="0" applyNumberFormat="1" applyFont="1" applyFill="1" applyBorder="1" applyAlignment="1" applyProtection="1">
      <alignment horizontal="center" vertical="center" wrapText="1"/>
      <protection hidden="1"/>
    </xf>
    <xf numFmtId="5" fontId="54" fillId="2" borderId="19" xfId="0" applyNumberFormat="1" applyFont="1" applyFill="1" applyBorder="1" applyAlignment="1" applyProtection="1">
      <alignment horizontal="center" vertical="center" wrapText="1"/>
      <protection hidden="1"/>
    </xf>
    <xf numFmtId="5" fontId="54" fillId="2" borderId="63" xfId="0" applyNumberFormat="1" applyFont="1" applyFill="1" applyBorder="1" applyAlignment="1" applyProtection="1">
      <alignment horizontal="center" vertical="center" wrapText="1"/>
      <protection hidden="1"/>
    </xf>
    <xf numFmtId="0" fontId="0" fillId="4" borderId="26" xfId="0" applyFill="1" applyBorder="1" applyAlignment="1" applyProtection="1">
      <alignment vertical="center"/>
    </xf>
    <xf numFmtId="0" fontId="0" fillId="4" borderId="28" xfId="0" applyFill="1" applyBorder="1" applyAlignment="1" applyProtection="1">
      <alignment vertical="center"/>
    </xf>
    <xf numFmtId="0" fontId="0" fillId="4" borderId="27" xfId="0" applyFill="1" applyBorder="1" applyAlignment="1" applyProtection="1">
      <alignment vertical="center"/>
    </xf>
    <xf numFmtId="0" fontId="0" fillId="4" borderId="26" xfId="0" applyFill="1" applyBorder="1" applyAlignment="1" applyProtection="1">
      <alignment horizontal="left" vertical="center"/>
    </xf>
    <xf numFmtId="0" fontId="0" fillId="4" borderId="28" xfId="0" applyFill="1" applyBorder="1" applyAlignment="1" applyProtection="1">
      <alignment horizontal="left" vertical="center"/>
    </xf>
    <xf numFmtId="0" fontId="0" fillId="4" borderId="38" xfId="0" applyFill="1" applyBorder="1" applyAlignment="1" applyProtection="1">
      <alignment horizontal="left" vertical="center"/>
    </xf>
    <xf numFmtId="0" fontId="10" fillId="4" borderId="7" xfId="0" applyFont="1" applyFill="1" applyBorder="1" applyAlignment="1" applyProtection="1">
      <alignment vertical="center" wrapText="1"/>
    </xf>
    <xf numFmtId="0" fontId="10" fillId="4" borderId="8" xfId="0" applyFont="1" applyFill="1" applyBorder="1" applyAlignment="1" applyProtection="1">
      <alignment vertical="center" wrapText="1"/>
    </xf>
    <xf numFmtId="0" fontId="10" fillId="4" borderId="9" xfId="0" applyFont="1" applyFill="1" applyBorder="1" applyAlignment="1" applyProtection="1">
      <alignment vertical="center" wrapText="1"/>
    </xf>
    <xf numFmtId="0" fontId="10" fillId="4" borderId="13" xfId="0" applyFont="1" applyFill="1" applyBorder="1" applyAlignment="1" applyProtection="1">
      <alignment vertical="center" wrapText="1"/>
    </xf>
    <xf numFmtId="0" fontId="10" fillId="4" borderId="0" xfId="0" applyFont="1" applyFill="1" applyBorder="1" applyAlignment="1" applyProtection="1">
      <alignment vertical="center" wrapText="1"/>
    </xf>
    <xf numFmtId="0" fontId="10" fillId="4" borderId="14" xfId="0" applyFont="1" applyFill="1" applyBorder="1" applyAlignment="1" applyProtection="1">
      <alignment vertical="center" wrapText="1"/>
    </xf>
    <xf numFmtId="0" fontId="10" fillId="4" borderId="10" xfId="0" applyFont="1" applyFill="1" applyBorder="1" applyAlignment="1" applyProtection="1">
      <alignment vertical="center" wrapText="1"/>
    </xf>
    <xf numFmtId="0" fontId="10" fillId="4" borderId="11" xfId="0" applyFont="1" applyFill="1" applyBorder="1" applyAlignment="1" applyProtection="1">
      <alignment vertical="center" wrapText="1"/>
    </xf>
    <xf numFmtId="0" fontId="10" fillId="4" borderId="12" xfId="0" applyFont="1" applyFill="1" applyBorder="1" applyAlignment="1" applyProtection="1">
      <alignment vertical="center" wrapText="1"/>
    </xf>
    <xf numFmtId="0" fontId="3" fillId="0" borderId="26" xfId="0" applyFont="1" applyBorder="1" applyAlignment="1" applyProtection="1">
      <protection locked="0"/>
    </xf>
    <xf numFmtId="0" fontId="3" fillId="0" borderId="28" xfId="0" applyFont="1" applyBorder="1" applyAlignment="1" applyProtection="1">
      <protection locked="0"/>
    </xf>
    <xf numFmtId="0" fontId="3" fillId="0" borderId="27" xfId="0" applyFont="1" applyBorder="1" applyAlignment="1" applyProtection="1">
      <protection locked="0"/>
    </xf>
    <xf numFmtId="167" fontId="8" fillId="4" borderId="26" xfId="0" applyNumberFormat="1" applyFont="1" applyFill="1" applyBorder="1" applyAlignment="1" applyProtection="1">
      <alignment horizontal="right" vertical="center"/>
      <protection locked="0"/>
    </xf>
    <xf numFmtId="167" fontId="8" fillId="4" borderId="38" xfId="0" applyNumberFormat="1" applyFont="1" applyFill="1" applyBorder="1" applyAlignment="1" applyProtection="1">
      <alignment horizontal="right" vertical="center"/>
      <protection locked="0"/>
    </xf>
    <xf numFmtId="0" fontId="33" fillId="2" borderId="74" xfId="0" applyFont="1" applyFill="1" applyBorder="1" applyAlignment="1" applyProtection="1">
      <alignment horizontal="left" vertical="center"/>
      <protection hidden="1"/>
    </xf>
    <xf numFmtId="0" fontId="33" fillId="2" borderId="49" xfId="0" applyFont="1" applyFill="1" applyBorder="1" applyAlignment="1" applyProtection="1">
      <alignment horizontal="left" vertical="center"/>
      <protection hidden="1"/>
    </xf>
    <xf numFmtId="0" fontId="33" fillId="2" borderId="75" xfId="0" applyFont="1" applyFill="1" applyBorder="1" applyAlignment="1" applyProtection="1">
      <alignment horizontal="left" vertical="center"/>
      <protection hidden="1"/>
    </xf>
    <xf numFmtId="0" fontId="3" fillId="0" borderId="48" xfId="0" applyFont="1" applyBorder="1" applyAlignment="1" applyProtection="1">
      <protection locked="0"/>
    </xf>
    <xf numFmtId="0" fontId="3" fillId="0" borderId="49" xfId="0" applyFont="1" applyBorder="1" applyAlignment="1" applyProtection="1">
      <protection locked="0"/>
    </xf>
    <xf numFmtId="0" fontId="3" fillId="0" borderId="50" xfId="0" applyFont="1" applyBorder="1" applyAlignment="1" applyProtection="1">
      <protection locked="0"/>
    </xf>
    <xf numFmtId="167" fontId="8" fillId="4" borderId="48" xfId="0" applyNumberFormat="1" applyFont="1" applyFill="1" applyBorder="1" applyAlignment="1" applyProtection="1">
      <alignment horizontal="right" vertical="center"/>
      <protection locked="0"/>
    </xf>
    <xf numFmtId="167" fontId="8" fillId="4" borderId="75" xfId="0" applyNumberFormat="1" applyFont="1" applyFill="1" applyBorder="1" applyAlignment="1" applyProtection="1">
      <alignment horizontal="right" vertical="center"/>
      <protection locked="0"/>
    </xf>
    <xf numFmtId="167" fontId="14" fillId="3" borderId="74" xfId="0" applyNumberFormat="1" applyFont="1" applyFill="1" applyBorder="1" applyAlignment="1" applyProtection="1">
      <alignment horizontal="right" vertical="center"/>
      <protection hidden="1"/>
    </xf>
    <xf numFmtId="167" fontId="14" fillId="3" borderId="75" xfId="0" applyNumberFormat="1" applyFont="1" applyFill="1" applyBorder="1" applyAlignment="1" applyProtection="1">
      <alignment horizontal="right" vertical="center"/>
      <protection hidden="1"/>
    </xf>
    <xf numFmtId="5" fontId="5" fillId="2" borderId="19" xfId="0" applyNumberFormat="1" applyFont="1" applyFill="1" applyBorder="1" applyAlignment="1" applyProtection="1">
      <alignment horizontal="center" vertical="center" wrapText="1"/>
      <protection hidden="1"/>
    </xf>
    <xf numFmtId="5" fontId="5" fillId="2" borderId="20" xfId="0" applyNumberFormat="1" applyFont="1" applyFill="1" applyBorder="1" applyAlignment="1" applyProtection="1">
      <alignment horizontal="center" vertical="center" wrapText="1"/>
      <protection hidden="1"/>
    </xf>
    <xf numFmtId="167" fontId="6" fillId="2" borderId="19" xfId="0" applyNumberFormat="1" applyFont="1" applyFill="1" applyBorder="1" applyAlignment="1" applyProtection="1">
      <alignment horizontal="center" vertical="center"/>
      <protection hidden="1"/>
    </xf>
    <xf numFmtId="167" fontId="6" fillId="2" borderId="21" xfId="0" applyNumberFormat="1" applyFont="1" applyFill="1" applyBorder="1" applyAlignment="1" applyProtection="1">
      <alignment horizontal="center" vertical="center"/>
      <protection hidden="1"/>
    </xf>
    <xf numFmtId="167" fontId="14" fillId="3" borderId="37" xfId="0" applyNumberFormat="1" applyFont="1" applyFill="1" applyBorder="1" applyAlignment="1" applyProtection="1">
      <alignment horizontal="right" vertical="center"/>
      <protection hidden="1"/>
    </xf>
    <xf numFmtId="167" fontId="14" fillId="3" borderId="38" xfId="0" applyNumberFormat="1" applyFont="1" applyFill="1" applyBorder="1" applyAlignment="1" applyProtection="1">
      <alignment horizontal="right" vertical="center"/>
      <protection hidden="1"/>
    </xf>
    <xf numFmtId="0" fontId="33" fillId="2" borderId="37" xfId="0" applyFont="1" applyFill="1" applyBorder="1" applyAlignment="1" applyProtection="1">
      <alignment horizontal="left" vertical="center"/>
      <protection hidden="1"/>
    </xf>
    <xf numFmtId="0" fontId="33" fillId="2" borderId="28" xfId="0" applyFont="1" applyFill="1" applyBorder="1" applyAlignment="1" applyProtection="1">
      <alignment horizontal="left" vertical="center"/>
      <protection hidden="1"/>
    </xf>
    <xf numFmtId="0" fontId="33" fillId="2" borderId="38" xfId="0" applyFont="1" applyFill="1" applyBorder="1" applyAlignment="1" applyProtection="1">
      <alignment horizontal="left" vertical="center"/>
      <protection hidden="1"/>
    </xf>
    <xf numFmtId="0" fontId="30" fillId="11" borderId="19" xfId="0" applyFont="1" applyFill="1" applyBorder="1" applyAlignment="1" applyProtection="1">
      <alignment horizontal="left" vertical="center" wrapText="1"/>
      <protection hidden="1"/>
    </xf>
    <xf numFmtId="0" fontId="30" fillId="11" borderId="20" xfId="0" applyFont="1" applyFill="1" applyBorder="1" applyAlignment="1" applyProtection="1">
      <alignment horizontal="left" vertical="center" wrapText="1"/>
      <protection hidden="1"/>
    </xf>
    <xf numFmtId="0" fontId="30" fillId="11" borderId="21" xfId="0" applyFont="1" applyFill="1" applyBorder="1" applyAlignment="1" applyProtection="1">
      <alignment horizontal="left" vertical="center" wrapText="1"/>
      <protection hidden="1"/>
    </xf>
    <xf numFmtId="0" fontId="26" fillId="0" borderId="0" xfId="0" applyFont="1" applyBorder="1" applyAlignment="1">
      <alignment horizontal="left" vertical="top" wrapText="1"/>
    </xf>
    <xf numFmtId="167" fontId="6" fillId="2" borderId="10" xfId="0" applyNumberFormat="1" applyFont="1" applyFill="1" applyBorder="1" applyAlignment="1" applyProtection="1">
      <alignment horizontal="center" wrapText="1"/>
      <protection hidden="1"/>
    </xf>
    <xf numFmtId="167" fontId="6" fillId="2" borderId="11" xfId="0" applyNumberFormat="1" applyFont="1" applyFill="1" applyBorder="1" applyAlignment="1" applyProtection="1">
      <alignment horizontal="center" wrapText="1"/>
      <protection hidden="1"/>
    </xf>
    <xf numFmtId="0" fontId="3" fillId="0" borderId="69"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0" fontId="3" fillId="0" borderId="50" xfId="0" applyFont="1" applyBorder="1" applyAlignment="1" applyProtection="1">
      <alignment horizontal="left" vertical="center"/>
      <protection locked="0"/>
    </xf>
    <xf numFmtId="0" fontId="15" fillId="2" borderId="19" xfId="0" applyFont="1" applyFill="1" applyBorder="1" applyAlignment="1" applyProtection="1">
      <alignment horizontal="left" vertical="center"/>
      <protection hidden="1"/>
    </xf>
    <xf numFmtId="0" fontId="15" fillId="2" borderId="20" xfId="0" applyFont="1" applyFill="1" applyBorder="1" applyAlignment="1" applyProtection="1">
      <alignment horizontal="left" vertical="center"/>
      <protection hidden="1"/>
    </xf>
    <xf numFmtId="0" fontId="15" fillId="2" borderId="21" xfId="0" applyFont="1" applyFill="1" applyBorder="1" applyAlignment="1" applyProtection="1">
      <alignment horizontal="left" vertical="center"/>
      <protection hidden="1"/>
    </xf>
    <xf numFmtId="0" fontId="14" fillId="4" borderId="19" xfId="0" applyFont="1" applyFill="1" applyBorder="1" applyAlignment="1" applyProtection="1">
      <alignment horizontal="center" vertical="center"/>
      <protection locked="0"/>
    </xf>
    <xf numFmtId="0" fontId="14" fillId="4" borderId="21" xfId="0" applyFont="1" applyFill="1" applyBorder="1" applyAlignment="1" applyProtection="1">
      <alignment horizontal="center" vertical="center"/>
      <protection locked="0"/>
    </xf>
    <xf numFmtId="167" fontId="14" fillId="3" borderId="68" xfId="0" applyNumberFormat="1" applyFont="1" applyFill="1" applyBorder="1" applyAlignment="1" applyProtection="1">
      <alignment horizontal="right" vertical="center"/>
      <protection hidden="1"/>
    </xf>
    <xf numFmtId="167" fontId="14" fillId="3" borderId="72" xfId="0" applyNumberFormat="1" applyFont="1" applyFill="1" applyBorder="1" applyAlignment="1" applyProtection="1">
      <alignment horizontal="right" vertical="center"/>
      <protection hidden="1"/>
    </xf>
    <xf numFmtId="0" fontId="36" fillId="2" borderId="68" xfId="0" applyFont="1" applyFill="1" applyBorder="1" applyAlignment="1" applyProtection="1">
      <alignment horizontal="left" vertical="center"/>
      <protection hidden="1"/>
    </xf>
    <xf numFmtId="0" fontId="36" fillId="2" borderId="73" xfId="0" applyFont="1" applyFill="1" applyBorder="1" applyAlignment="1" applyProtection="1">
      <alignment horizontal="left" vertical="center"/>
      <protection hidden="1"/>
    </xf>
    <xf numFmtId="0" fontId="36" fillId="2" borderId="72" xfId="0" applyFont="1" applyFill="1" applyBorder="1" applyAlignment="1" applyProtection="1">
      <alignment horizontal="left" vertical="center"/>
      <protection hidden="1"/>
    </xf>
    <xf numFmtId="0" fontId="36" fillId="2" borderId="20" xfId="0" applyFont="1" applyFill="1" applyBorder="1" applyAlignment="1" applyProtection="1">
      <alignment horizontal="center" vertical="center" wrapText="1"/>
      <protection hidden="1"/>
    </xf>
    <xf numFmtId="0" fontId="3" fillId="0" borderId="59" xfId="0" applyFont="1" applyBorder="1" applyAlignment="1" applyProtection="1">
      <protection locked="0"/>
    </xf>
    <xf numFmtId="0" fontId="3" fillId="0" borderId="73" xfId="0" applyFont="1" applyBorder="1" applyAlignment="1" applyProtection="1">
      <protection locked="0"/>
    </xf>
    <xf numFmtId="0" fontId="3" fillId="0" borderId="69" xfId="0" applyFont="1" applyBorder="1" applyAlignment="1" applyProtection="1">
      <protection locked="0"/>
    </xf>
    <xf numFmtId="0" fontId="26" fillId="0" borderId="14" xfId="0" applyFont="1" applyBorder="1" applyAlignment="1">
      <alignment horizontal="left" vertical="top" wrapText="1"/>
    </xf>
    <xf numFmtId="0" fontId="26" fillId="0" borderId="11" xfId="0" applyFont="1" applyBorder="1" applyAlignment="1">
      <alignment horizontal="left" vertical="top" wrapText="1"/>
    </xf>
    <xf numFmtId="0" fontId="26" fillId="0" borderId="12" xfId="0" applyFont="1" applyBorder="1" applyAlignment="1">
      <alignment horizontal="left" vertical="top" wrapText="1"/>
    </xf>
    <xf numFmtId="167" fontId="8" fillId="4" borderId="59" xfId="0" applyNumberFormat="1" applyFont="1" applyFill="1" applyBorder="1" applyAlignment="1" applyProtection="1">
      <alignment horizontal="right" vertical="center"/>
      <protection locked="0"/>
    </xf>
    <xf numFmtId="167" fontId="8" fillId="4" borderId="72" xfId="0" applyNumberFormat="1" applyFont="1" applyFill="1" applyBorder="1" applyAlignment="1" applyProtection="1">
      <alignment horizontal="right" vertical="center"/>
      <protection locked="0"/>
    </xf>
    <xf numFmtId="0" fontId="45" fillId="11" borderId="7" xfId="0" applyFont="1" applyFill="1" applyBorder="1" applyAlignment="1" applyProtection="1">
      <alignment horizontal="center" vertical="center"/>
      <protection hidden="1"/>
    </xf>
    <xf numFmtId="0" fontId="45" fillId="11" borderId="8" xfId="0" applyFont="1" applyFill="1" applyBorder="1" applyAlignment="1" applyProtection="1">
      <alignment horizontal="center" vertical="center"/>
      <protection hidden="1"/>
    </xf>
    <xf numFmtId="0" fontId="45" fillId="11" borderId="9" xfId="0" applyFont="1" applyFill="1" applyBorder="1" applyAlignment="1" applyProtection="1">
      <alignment horizontal="center" vertical="center"/>
      <protection hidden="1"/>
    </xf>
    <xf numFmtId="0" fontId="45" fillId="11" borderId="10" xfId="0" applyFont="1" applyFill="1" applyBorder="1" applyAlignment="1" applyProtection="1">
      <alignment horizontal="center" vertical="center"/>
      <protection hidden="1"/>
    </xf>
    <xf numFmtId="0" fontId="45" fillId="11" borderId="11" xfId="0" applyFont="1" applyFill="1" applyBorder="1" applyAlignment="1" applyProtection="1">
      <alignment horizontal="center" vertical="center"/>
      <protection hidden="1"/>
    </xf>
    <xf numFmtId="0" fontId="45" fillId="11" borderId="12" xfId="0" applyFont="1" applyFill="1" applyBorder="1" applyAlignment="1" applyProtection="1">
      <alignment horizontal="center" vertical="center"/>
      <protection hidden="1"/>
    </xf>
    <xf numFmtId="0" fontId="26" fillId="0" borderId="0" xfId="0" applyFont="1" applyAlignment="1" applyProtection="1">
      <alignment horizontal="left" vertical="top" wrapText="1"/>
      <protection hidden="1"/>
    </xf>
    <xf numFmtId="44" fontId="14" fillId="3" borderId="5" xfId="0" applyNumberFormat="1" applyFont="1" applyFill="1" applyBorder="1" applyAlignment="1" applyProtection="1">
      <protection hidden="1"/>
    </xf>
    <xf numFmtId="44" fontId="14" fillId="3" borderId="6" xfId="0" applyNumberFormat="1" applyFont="1" applyFill="1" applyBorder="1" applyAlignment="1" applyProtection="1">
      <protection hidden="1"/>
    </xf>
    <xf numFmtId="0" fontId="0" fillId="0" borderId="57" xfId="0" applyBorder="1" applyAlignment="1">
      <alignment horizontal="center" vertical="center"/>
    </xf>
    <xf numFmtId="0" fontId="0" fillId="0" borderId="61"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67" fontId="30" fillId="11" borderId="0" xfId="0" applyNumberFormat="1" applyFont="1" applyFill="1" applyBorder="1" applyAlignment="1" applyProtection="1">
      <alignment horizontal="center" vertical="center" wrapText="1"/>
      <protection hidden="1"/>
    </xf>
    <xf numFmtId="167" fontId="30" fillId="11" borderId="14" xfId="0" applyNumberFormat="1" applyFont="1" applyFill="1" applyBorder="1" applyAlignment="1" applyProtection="1">
      <alignment horizontal="center" vertical="center" wrapText="1"/>
      <protection hidden="1"/>
    </xf>
    <xf numFmtId="5" fontId="6" fillId="2" borderId="10" xfId="0" applyNumberFormat="1" applyFont="1" applyFill="1" applyBorder="1" applyAlignment="1" applyProtection="1">
      <alignment horizontal="center" vertical="center" wrapText="1"/>
      <protection hidden="1"/>
    </xf>
    <xf numFmtId="5" fontId="6" fillId="2" borderId="64" xfId="0" applyNumberFormat="1" applyFont="1" applyFill="1" applyBorder="1" applyAlignment="1" applyProtection="1">
      <alignment horizontal="center" vertical="center" wrapText="1"/>
      <protection hidden="1"/>
    </xf>
    <xf numFmtId="0" fontId="0" fillId="0" borderId="27" xfId="0" applyBorder="1" applyAlignment="1"/>
    <xf numFmtId="44" fontId="14" fillId="3" borderId="15" xfId="0" applyNumberFormat="1" applyFont="1" applyFill="1" applyBorder="1" applyAlignment="1" applyProtection="1">
      <protection hidden="1"/>
    </xf>
    <xf numFmtId="44" fontId="14" fillId="3" borderId="17" xfId="0" applyNumberFormat="1" applyFont="1" applyFill="1" applyBorder="1" applyAlignment="1" applyProtection="1">
      <protection hidden="1"/>
    </xf>
    <xf numFmtId="0" fontId="0" fillId="0" borderId="16" xfId="0" applyBorder="1" applyAlignment="1"/>
    <xf numFmtId="0" fontId="0" fillId="0" borderId="15" xfId="0" applyBorder="1" applyAlignment="1"/>
    <xf numFmtId="167" fontId="6" fillId="3" borderId="4" xfId="0" applyNumberFormat="1" applyFont="1" applyFill="1" applyBorder="1" applyAlignment="1" applyProtection="1">
      <alignment horizontal="left" vertical="center"/>
      <protection hidden="1"/>
    </xf>
    <xf numFmtId="0" fontId="0" fillId="0" borderId="5" xfId="0" applyBorder="1" applyAlignment="1">
      <alignment vertical="center"/>
    </xf>
    <xf numFmtId="0" fontId="0" fillId="0" borderId="2" xfId="0" applyBorder="1" applyAlignment="1">
      <alignment vertical="center"/>
    </xf>
    <xf numFmtId="0" fontId="56" fillId="23" borderId="2" xfId="0" applyFont="1" applyFill="1" applyBorder="1" applyAlignment="1">
      <alignment horizontal="center" vertical="center" wrapText="1"/>
    </xf>
    <xf numFmtId="0" fontId="6" fillId="23" borderId="19" xfId="2" applyFont="1" applyFill="1" applyBorder="1" applyAlignment="1">
      <alignment horizontal="center"/>
    </xf>
    <xf numFmtId="0" fontId="6" fillId="23" borderId="20" xfId="2" applyFont="1" applyFill="1" applyBorder="1" applyAlignment="1">
      <alignment horizontal="center"/>
    </xf>
    <xf numFmtId="0" fontId="6" fillId="23" borderId="21" xfId="2" applyFont="1" applyFill="1" applyBorder="1" applyAlignment="1">
      <alignment horizontal="center"/>
    </xf>
    <xf numFmtId="0" fontId="6" fillId="23" borderId="19" xfId="2" applyFont="1" applyFill="1" applyBorder="1" applyAlignment="1">
      <alignment horizontal="center" vertical="top"/>
    </xf>
    <xf numFmtId="0" fontId="6" fillId="23" borderId="20" xfId="2" applyFont="1" applyFill="1" applyBorder="1" applyAlignment="1">
      <alignment horizontal="center" vertical="top"/>
    </xf>
    <xf numFmtId="0" fontId="6" fillId="23" borderId="21" xfId="2" applyFont="1" applyFill="1" applyBorder="1" applyAlignment="1">
      <alignment horizontal="center" vertical="top"/>
    </xf>
    <xf numFmtId="0" fontId="31" fillId="0" borderId="46" xfId="0" applyFont="1" applyBorder="1" applyAlignment="1">
      <alignment horizontal="center" wrapText="1"/>
    </xf>
    <xf numFmtId="0" fontId="0" fillId="0" borderId="47" xfId="0" applyBorder="1" applyAlignment="1">
      <alignment horizontal="center" wrapText="1"/>
    </xf>
    <xf numFmtId="0" fontId="6" fillId="9" borderId="0" xfId="0" applyFont="1" applyFill="1" applyAlignment="1">
      <alignment horizontal="center" wrapText="1"/>
    </xf>
    <xf numFmtId="0" fontId="1" fillId="0" borderId="0" xfId="1" applyFont="1"/>
  </cellXfs>
  <cellStyles count="8">
    <cellStyle name="Comma" xfId="3" builtinId="3"/>
    <cellStyle name="Currency" xfId="7" builtinId="4"/>
    <cellStyle name="Hyperlink" xfId="4" builtinId="8"/>
    <cellStyle name="Normal" xfId="0" builtinId="0"/>
    <cellStyle name="Normal 2" xfId="1"/>
    <cellStyle name="Normal 3" xfId="2"/>
    <cellStyle name="Normal 4" xfId="5"/>
    <cellStyle name="Percent" xfId="6" builtinId="5"/>
  </cellStyles>
  <dxfs count="2">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FFFFCC"/>
      <color rgb="FFFFFF99"/>
      <color rgb="FFFCFF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3" Type="http://schemas.openxmlformats.org/officeDocument/2006/relationships/image" Target="../media/image17.png"/><Relationship Id="rId18" Type="http://schemas.openxmlformats.org/officeDocument/2006/relationships/image" Target="../media/image22.gif"/><Relationship Id="rId26" Type="http://schemas.openxmlformats.org/officeDocument/2006/relationships/image" Target="../media/image30.png"/><Relationship Id="rId39" Type="http://schemas.openxmlformats.org/officeDocument/2006/relationships/image" Target="../media/image42.jpeg"/><Relationship Id="rId21" Type="http://schemas.openxmlformats.org/officeDocument/2006/relationships/image" Target="../media/image25.gif"/><Relationship Id="rId34" Type="http://schemas.openxmlformats.org/officeDocument/2006/relationships/image" Target="../media/image37.jpeg"/><Relationship Id="rId42" Type="http://schemas.openxmlformats.org/officeDocument/2006/relationships/image" Target="../media/image45.jpeg"/><Relationship Id="rId47" Type="http://schemas.openxmlformats.org/officeDocument/2006/relationships/image" Target="../media/image50.png"/><Relationship Id="rId50" Type="http://schemas.openxmlformats.org/officeDocument/2006/relationships/image" Target="../media/image53.jpeg"/><Relationship Id="rId55" Type="http://schemas.openxmlformats.org/officeDocument/2006/relationships/image" Target="../media/image58.png"/><Relationship Id="rId7" Type="http://schemas.openxmlformats.org/officeDocument/2006/relationships/image" Target="../media/image11.jpeg"/><Relationship Id="rId12" Type="http://schemas.openxmlformats.org/officeDocument/2006/relationships/image" Target="../media/image16.jpeg"/><Relationship Id="rId17" Type="http://schemas.openxmlformats.org/officeDocument/2006/relationships/image" Target="../media/image21.png"/><Relationship Id="rId25" Type="http://schemas.openxmlformats.org/officeDocument/2006/relationships/image" Target="../media/image29.jpeg"/><Relationship Id="rId33" Type="http://schemas.openxmlformats.org/officeDocument/2006/relationships/image" Target="../media/image36.png"/><Relationship Id="rId38" Type="http://schemas.openxmlformats.org/officeDocument/2006/relationships/image" Target="../media/image41.jpeg"/><Relationship Id="rId46" Type="http://schemas.openxmlformats.org/officeDocument/2006/relationships/image" Target="../media/image49.gif"/><Relationship Id="rId2" Type="http://schemas.openxmlformats.org/officeDocument/2006/relationships/image" Target="../media/image6.png"/><Relationship Id="rId16" Type="http://schemas.openxmlformats.org/officeDocument/2006/relationships/image" Target="../media/image20.png"/><Relationship Id="rId20" Type="http://schemas.openxmlformats.org/officeDocument/2006/relationships/image" Target="../media/image24.png"/><Relationship Id="rId29" Type="http://schemas.openxmlformats.org/officeDocument/2006/relationships/image" Target="../media/image32.png"/><Relationship Id="rId41" Type="http://schemas.openxmlformats.org/officeDocument/2006/relationships/image" Target="../media/image44.jpeg"/><Relationship Id="rId54" Type="http://schemas.openxmlformats.org/officeDocument/2006/relationships/image" Target="../media/image57.jpeg"/><Relationship Id="rId1" Type="http://schemas.openxmlformats.org/officeDocument/2006/relationships/image" Target="../media/image5.emf"/><Relationship Id="rId6" Type="http://schemas.openxmlformats.org/officeDocument/2006/relationships/image" Target="../media/image10.jpeg"/><Relationship Id="rId11" Type="http://schemas.openxmlformats.org/officeDocument/2006/relationships/image" Target="../media/image15.png"/><Relationship Id="rId24" Type="http://schemas.openxmlformats.org/officeDocument/2006/relationships/image" Target="../media/image28.jpeg"/><Relationship Id="rId32" Type="http://schemas.openxmlformats.org/officeDocument/2006/relationships/image" Target="../media/image35.png"/><Relationship Id="rId37" Type="http://schemas.openxmlformats.org/officeDocument/2006/relationships/image" Target="../media/image40.png"/><Relationship Id="rId40" Type="http://schemas.openxmlformats.org/officeDocument/2006/relationships/image" Target="../media/image43.jpeg"/><Relationship Id="rId45" Type="http://schemas.openxmlformats.org/officeDocument/2006/relationships/image" Target="../media/image48.jpeg"/><Relationship Id="rId53" Type="http://schemas.openxmlformats.org/officeDocument/2006/relationships/image" Target="../media/image56.png"/><Relationship Id="rId58" Type="http://schemas.openxmlformats.org/officeDocument/2006/relationships/image" Target="../media/image61.png"/><Relationship Id="rId5" Type="http://schemas.openxmlformats.org/officeDocument/2006/relationships/image" Target="../media/image9.jpeg"/><Relationship Id="rId15" Type="http://schemas.openxmlformats.org/officeDocument/2006/relationships/image" Target="../media/image19.png"/><Relationship Id="rId23" Type="http://schemas.openxmlformats.org/officeDocument/2006/relationships/image" Target="../media/image27.png"/><Relationship Id="rId28" Type="http://schemas.openxmlformats.org/officeDocument/2006/relationships/image" Target="../media/image31.png"/><Relationship Id="rId36" Type="http://schemas.openxmlformats.org/officeDocument/2006/relationships/image" Target="../media/image39.jpeg"/><Relationship Id="rId49" Type="http://schemas.openxmlformats.org/officeDocument/2006/relationships/image" Target="../media/image52.jpeg"/><Relationship Id="rId57" Type="http://schemas.openxmlformats.org/officeDocument/2006/relationships/image" Target="../media/image60.png"/><Relationship Id="rId10" Type="http://schemas.openxmlformats.org/officeDocument/2006/relationships/image" Target="../media/image14.png"/><Relationship Id="rId19" Type="http://schemas.openxmlformats.org/officeDocument/2006/relationships/image" Target="../media/image23.png"/><Relationship Id="rId31" Type="http://schemas.openxmlformats.org/officeDocument/2006/relationships/image" Target="../media/image34.png"/><Relationship Id="rId44" Type="http://schemas.openxmlformats.org/officeDocument/2006/relationships/image" Target="../media/image47.jpeg"/><Relationship Id="rId52" Type="http://schemas.openxmlformats.org/officeDocument/2006/relationships/image" Target="../media/image55.jpeg"/><Relationship Id="rId4" Type="http://schemas.openxmlformats.org/officeDocument/2006/relationships/image" Target="../media/image8.png"/><Relationship Id="rId9" Type="http://schemas.openxmlformats.org/officeDocument/2006/relationships/image" Target="../media/image13.jpeg"/><Relationship Id="rId14" Type="http://schemas.openxmlformats.org/officeDocument/2006/relationships/image" Target="../media/image18.jpeg"/><Relationship Id="rId22" Type="http://schemas.openxmlformats.org/officeDocument/2006/relationships/image" Target="../media/image26.jpeg"/><Relationship Id="rId27" Type="http://schemas.microsoft.com/office/2007/relationships/hdphoto" Target="../media/hdphoto1.wdp"/><Relationship Id="rId30" Type="http://schemas.openxmlformats.org/officeDocument/2006/relationships/image" Target="../media/image33.jpeg"/><Relationship Id="rId35" Type="http://schemas.openxmlformats.org/officeDocument/2006/relationships/image" Target="../media/image38.jpeg"/><Relationship Id="rId43" Type="http://schemas.openxmlformats.org/officeDocument/2006/relationships/image" Target="../media/image46.jpeg"/><Relationship Id="rId48" Type="http://schemas.openxmlformats.org/officeDocument/2006/relationships/image" Target="../media/image51.jpeg"/><Relationship Id="rId56" Type="http://schemas.openxmlformats.org/officeDocument/2006/relationships/image" Target="../media/image59.png"/><Relationship Id="rId8" Type="http://schemas.openxmlformats.org/officeDocument/2006/relationships/image" Target="../media/image12.jpg"/><Relationship Id="rId51" Type="http://schemas.openxmlformats.org/officeDocument/2006/relationships/image" Target="../media/image54.jpeg"/><Relationship Id="rId3"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404812</xdr:colOff>
          <xdr:row>0</xdr:row>
          <xdr:rowOff>0</xdr:rowOff>
        </xdr:from>
        <xdr:to>
          <xdr:col>2</xdr:col>
          <xdr:colOff>1382712</xdr:colOff>
          <xdr:row>13</xdr:row>
          <xdr:rowOff>140494</xdr:rowOff>
        </xdr:to>
        <xdr:pic>
          <xdr:nvPicPr>
            <xdr:cNvPr id="4" name="Picture 3"/>
            <xdr:cNvPicPr preferRelativeResize="0">
              <a:picLocks noChangeArrowheads="1"/>
              <a:extLst>
                <a:ext uri="{84589F7E-364E-4C9E-8A38-B11213B215E9}">
                  <a14:cameraTool cellRange="CrestPic" spid="_x0000_s27473"/>
                </a:ext>
              </a:extLst>
            </xdr:cNvPicPr>
          </xdr:nvPicPr>
          <xdr:blipFill>
            <a:blip xmlns:r="http://schemas.openxmlformats.org/officeDocument/2006/relationships" r:embed="rId1"/>
            <a:srcRect/>
            <a:stretch>
              <a:fillRect/>
            </a:stretch>
          </xdr:blipFill>
          <xdr:spPr bwMode="auto">
            <a:xfrm>
              <a:off x="404812" y="0"/>
              <a:ext cx="2644775" cy="2795588"/>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527844</xdr:colOff>
          <xdr:row>2</xdr:row>
          <xdr:rowOff>84137</xdr:rowOff>
        </xdr:from>
        <xdr:to>
          <xdr:col>12</xdr:col>
          <xdr:colOff>1073944</xdr:colOff>
          <xdr:row>14</xdr:row>
          <xdr:rowOff>134143</xdr:rowOff>
        </xdr:to>
        <xdr:pic>
          <xdr:nvPicPr>
            <xdr:cNvPr id="6" name="Picture 5"/>
            <xdr:cNvPicPr preferRelativeResize="0">
              <a:picLocks noChangeArrowheads="1"/>
              <a:extLst>
                <a:ext uri="{84589F7E-364E-4C9E-8A38-B11213B215E9}">
                  <a14:cameraTool cellRange="Crestpic2" spid="_x0000_s27474"/>
                </a:ext>
              </a:extLst>
            </xdr:cNvPicPr>
          </xdr:nvPicPr>
          <xdr:blipFill>
            <a:blip xmlns:r="http://schemas.openxmlformats.org/officeDocument/2006/relationships" r:embed="rId1"/>
            <a:srcRect/>
            <a:stretch>
              <a:fillRect/>
            </a:stretch>
          </xdr:blipFill>
          <xdr:spPr bwMode="auto">
            <a:xfrm>
              <a:off x="10588625" y="465137"/>
              <a:ext cx="2403475" cy="2502694"/>
            </a:xfrm>
            <a:prstGeom prst="rect">
              <a:avLst/>
            </a:prstGeom>
            <a:noFill/>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298450</xdr:colOff>
          <xdr:row>0</xdr:row>
          <xdr:rowOff>44450</xdr:rowOff>
        </xdr:from>
        <xdr:to>
          <xdr:col>2</xdr:col>
          <xdr:colOff>1276350</xdr:colOff>
          <xdr:row>14</xdr:row>
          <xdr:rowOff>0</xdr:rowOff>
        </xdr:to>
        <xdr:pic>
          <xdr:nvPicPr>
            <xdr:cNvPr id="4" name="Picture 3"/>
            <xdr:cNvPicPr preferRelativeResize="0">
              <a:picLocks noChangeArrowheads="1"/>
              <a:extLst>
                <a:ext uri="{84589F7E-364E-4C9E-8A38-B11213B215E9}">
                  <a14:cameraTool cellRange="CrestPic" spid="_x0000_s19422"/>
                </a:ext>
              </a:extLst>
            </xdr:cNvPicPr>
          </xdr:nvPicPr>
          <xdr:blipFill>
            <a:blip xmlns:r="http://schemas.openxmlformats.org/officeDocument/2006/relationships" r:embed="rId1"/>
            <a:srcRect/>
            <a:stretch>
              <a:fillRect/>
            </a:stretch>
          </xdr:blipFill>
          <xdr:spPr bwMode="auto">
            <a:xfrm>
              <a:off x="298450" y="44450"/>
              <a:ext cx="2578100" cy="278765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0</xdr:row>
          <xdr:rowOff>158750</xdr:rowOff>
        </xdr:from>
        <xdr:to>
          <xdr:col>12</xdr:col>
          <xdr:colOff>857250</xdr:colOff>
          <xdr:row>13</xdr:row>
          <xdr:rowOff>82550</xdr:rowOff>
        </xdr:to>
        <xdr:pic>
          <xdr:nvPicPr>
            <xdr:cNvPr id="5" name="Picture 4"/>
            <xdr:cNvPicPr preferRelativeResize="0">
              <a:picLocks noChangeArrowheads="1"/>
              <a:extLst>
                <a:ext uri="{84589F7E-364E-4C9E-8A38-B11213B215E9}">
                  <a14:cameraTool cellRange="Crestpic2" spid="_x0000_s19423"/>
                </a:ext>
              </a:extLst>
            </xdr:cNvPicPr>
          </xdr:nvPicPr>
          <xdr:blipFill>
            <a:blip xmlns:r="http://schemas.openxmlformats.org/officeDocument/2006/relationships" r:embed="rId2"/>
            <a:srcRect/>
            <a:stretch>
              <a:fillRect/>
            </a:stretch>
          </xdr:blipFill>
          <xdr:spPr bwMode="auto">
            <a:xfrm>
              <a:off x="9061450" y="158750"/>
              <a:ext cx="2381250" cy="2578100"/>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438150</xdr:colOff>
          <xdr:row>0</xdr:row>
          <xdr:rowOff>38100</xdr:rowOff>
        </xdr:from>
        <xdr:to>
          <xdr:col>2</xdr:col>
          <xdr:colOff>1231900</xdr:colOff>
          <xdr:row>13</xdr:row>
          <xdr:rowOff>12700</xdr:rowOff>
        </xdr:to>
        <xdr:pic>
          <xdr:nvPicPr>
            <xdr:cNvPr id="8" name="Picture 7"/>
            <xdr:cNvPicPr preferRelativeResize="0">
              <a:picLocks noChangeArrowheads="1"/>
              <a:extLst>
                <a:ext uri="{84589F7E-364E-4C9E-8A38-B11213B215E9}">
                  <a14:cameraTool cellRange="CrestPic" spid="_x0000_s56551"/>
                </a:ext>
              </a:extLst>
            </xdr:cNvPicPr>
          </xdr:nvPicPr>
          <xdr:blipFill>
            <a:blip xmlns:r="http://schemas.openxmlformats.org/officeDocument/2006/relationships" r:embed="rId1"/>
            <a:srcRect/>
            <a:stretch>
              <a:fillRect/>
            </a:stretch>
          </xdr:blipFill>
          <xdr:spPr bwMode="auto">
            <a:xfrm>
              <a:off x="438150" y="38100"/>
              <a:ext cx="2349500" cy="245110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0</xdr:row>
          <xdr:rowOff>1</xdr:rowOff>
        </xdr:from>
        <xdr:to>
          <xdr:col>12</xdr:col>
          <xdr:colOff>784226</xdr:colOff>
          <xdr:row>12</xdr:row>
          <xdr:rowOff>133350</xdr:rowOff>
        </xdr:to>
        <xdr:pic>
          <xdr:nvPicPr>
            <xdr:cNvPr id="9" name="Picture 8"/>
            <xdr:cNvPicPr preferRelativeResize="0">
              <a:picLocks noChangeArrowheads="1"/>
              <a:extLst>
                <a:ext uri="{84589F7E-364E-4C9E-8A38-B11213B215E9}">
                  <a14:cameraTool cellRange="Crestpic2" spid="_x0000_s56552"/>
                </a:ext>
              </a:extLst>
            </xdr:cNvPicPr>
          </xdr:nvPicPr>
          <xdr:blipFill>
            <a:blip xmlns:r="http://schemas.openxmlformats.org/officeDocument/2006/relationships" r:embed="rId1"/>
            <a:srcRect/>
            <a:stretch>
              <a:fillRect/>
            </a:stretch>
          </xdr:blipFill>
          <xdr:spPr bwMode="auto">
            <a:xfrm>
              <a:off x="9575800" y="1"/>
              <a:ext cx="2181226" cy="2419349"/>
            </a:xfrm>
            <a:prstGeom prst="rect">
              <a:avLst/>
            </a:prstGeom>
            <a:noFill/>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238125</xdr:colOff>
      <xdr:row>31</xdr:row>
      <xdr:rowOff>38100</xdr:rowOff>
    </xdr:from>
    <xdr:to>
      <xdr:col>3</xdr:col>
      <xdr:colOff>9525</xdr:colOff>
      <xdr:row>33</xdr:row>
      <xdr:rowOff>28575</xdr:rowOff>
    </xdr:to>
    <xdr:sp macro="" textlink="">
      <xdr:nvSpPr>
        <xdr:cNvPr id="3" name="Right Brace 2"/>
        <xdr:cNvSpPr/>
      </xdr:nvSpPr>
      <xdr:spPr>
        <a:xfrm>
          <a:off x="10048875" y="1933575"/>
          <a:ext cx="714375" cy="333375"/>
        </a:xfrm>
        <a:prstGeom prst="rightBrace">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4893194</xdr:colOff>
      <xdr:row>58</xdr:row>
      <xdr:rowOff>209550</xdr:rowOff>
    </xdr:from>
    <xdr:ext cx="680309" cy="371475"/>
    <xdr:pic>
      <xdr:nvPicPr>
        <xdr:cNvPr id="39" name="Picture 38"/>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4893194" y="40622764"/>
          <a:ext cx="680309" cy="3714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4897752</xdr:colOff>
      <xdr:row>53</xdr:row>
      <xdr:rowOff>41276</xdr:rowOff>
    </xdr:from>
    <xdr:ext cx="671192" cy="520699"/>
    <xdr:pic>
      <xdr:nvPicPr>
        <xdr:cNvPr id="42" name="Picture 4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4897752" y="37460919"/>
          <a:ext cx="671192" cy="520699"/>
        </a:xfrm>
        <a:prstGeom prst="rect">
          <a:avLst/>
        </a:prstGeom>
      </xdr:spPr>
    </xdr:pic>
    <xdr:clientData/>
  </xdr:oneCellAnchor>
  <xdr:oneCellAnchor>
    <xdr:from>
      <xdr:col>1</xdr:col>
      <xdr:colOff>14495</xdr:colOff>
      <xdr:row>57</xdr:row>
      <xdr:rowOff>292102</xdr:rowOff>
    </xdr:from>
    <xdr:ext cx="613349" cy="241298"/>
    <xdr:pic>
      <xdr:nvPicPr>
        <xdr:cNvPr id="44" name="Picture 43"/>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4926674" y="39956923"/>
          <a:ext cx="613349" cy="241298"/>
        </a:xfrm>
        <a:prstGeom prst="rect">
          <a:avLst/>
        </a:prstGeom>
      </xdr:spPr>
    </xdr:pic>
    <xdr:clientData/>
  </xdr:oneCellAnchor>
  <xdr:twoCellAnchor editAs="oneCell">
    <xdr:from>
      <xdr:col>1</xdr:col>
      <xdr:colOff>21132</xdr:colOff>
      <xdr:row>21</xdr:row>
      <xdr:rowOff>28574</xdr:rowOff>
    </xdr:from>
    <xdr:to>
      <xdr:col>1</xdr:col>
      <xdr:colOff>621207</xdr:colOff>
      <xdr:row>22</xdr:row>
      <xdr:rowOff>5714</xdr:rowOff>
    </xdr:to>
    <xdr:pic>
      <xdr:nvPicPr>
        <xdr:cNvPr id="68" name="Picture 67"/>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4933311" y="14996431"/>
          <a:ext cx="600075" cy="725533"/>
        </a:xfrm>
        <a:prstGeom prst="rect">
          <a:avLst/>
        </a:prstGeom>
      </xdr:spPr>
    </xdr:pic>
    <xdr:clientData/>
  </xdr:twoCellAnchor>
  <xdr:twoCellAnchor editAs="oneCell">
    <xdr:from>
      <xdr:col>1</xdr:col>
      <xdr:colOff>16369</xdr:colOff>
      <xdr:row>36</xdr:row>
      <xdr:rowOff>9526</xdr:rowOff>
    </xdr:from>
    <xdr:to>
      <xdr:col>1</xdr:col>
      <xdr:colOff>625969</xdr:colOff>
      <xdr:row>37</xdr:row>
      <xdr:rowOff>8306</xdr:rowOff>
    </xdr:to>
    <xdr:pic>
      <xdr:nvPicPr>
        <xdr:cNvPr id="82" name="Picture 81"/>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4928548" y="25454883"/>
          <a:ext cx="609600" cy="747173"/>
        </a:xfrm>
        <a:prstGeom prst="rect">
          <a:avLst/>
        </a:prstGeom>
      </xdr:spPr>
    </xdr:pic>
    <xdr:clientData/>
  </xdr:twoCellAnchor>
  <xdr:twoCellAnchor editAs="oneCell">
    <xdr:from>
      <xdr:col>0</xdr:col>
      <xdr:colOff>4901334</xdr:colOff>
      <xdr:row>55</xdr:row>
      <xdr:rowOff>57150</xdr:rowOff>
    </xdr:from>
    <xdr:to>
      <xdr:col>1</xdr:col>
      <xdr:colOff>653184</xdr:colOff>
      <xdr:row>55</xdr:row>
      <xdr:rowOff>604905</xdr:rowOff>
    </xdr:to>
    <xdr:pic>
      <xdr:nvPicPr>
        <xdr:cNvPr id="22" name="Picture 2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4901334" y="38225186"/>
          <a:ext cx="664029" cy="547755"/>
        </a:xfrm>
        <a:prstGeom prst="rect">
          <a:avLst/>
        </a:prstGeom>
      </xdr:spPr>
    </xdr:pic>
    <xdr:clientData/>
  </xdr:twoCellAnchor>
  <xdr:twoCellAnchor editAs="oneCell">
    <xdr:from>
      <xdr:col>1</xdr:col>
      <xdr:colOff>9335</xdr:colOff>
      <xdr:row>56</xdr:row>
      <xdr:rowOff>247651</xdr:rowOff>
    </xdr:from>
    <xdr:to>
      <xdr:col>1</xdr:col>
      <xdr:colOff>633003</xdr:colOff>
      <xdr:row>56</xdr:row>
      <xdr:rowOff>476251</xdr:rowOff>
    </xdr:to>
    <xdr:pic>
      <xdr:nvPicPr>
        <xdr:cNvPr id="23" name="Picture 22"/>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4921514" y="39164080"/>
          <a:ext cx="623668" cy="228600"/>
        </a:xfrm>
        <a:prstGeom prst="rect">
          <a:avLst/>
        </a:prstGeom>
      </xdr:spPr>
    </xdr:pic>
    <xdr:clientData/>
  </xdr:twoCellAnchor>
  <xdr:twoCellAnchor editAs="oneCell">
    <xdr:from>
      <xdr:col>1</xdr:col>
      <xdr:colOff>40024</xdr:colOff>
      <xdr:row>54</xdr:row>
      <xdr:rowOff>57150</xdr:rowOff>
    </xdr:from>
    <xdr:to>
      <xdr:col>1</xdr:col>
      <xdr:colOff>625956</xdr:colOff>
      <xdr:row>54</xdr:row>
      <xdr:rowOff>723900</xdr:rowOff>
    </xdr:to>
    <xdr:pic>
      <xdr:nvPicPr>
        <xdr:cNvPr id="3" name="Picture 2"/>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6596" t="6768" r="6992" b="4694"/>
        <a:stretch/>
      </xdr:blipFill>
      <xdr:spPr>
        <a:xfrm>
          <a:off x="4764424" y="37947600"/>
          <a:ext cx="585932" cy="666750"/>
        </a:xfrm>
        <a:prstGeom prst="rect">
          <a:avLst/>
        </a:prstGeom>
      </xdr:spPr>
    </xdr:pic>
    <xdr:clientData/>
  </xdr:twoCellAnchor>
  <xdr:twoCellAnchor editAs="oneCell">
    <xdr:from>
      <xdr:col>0</xdr:col>
      <xdr:colOff>4876801</xdr:colOff>
      <xdr:row>19</xdr:row>
      <xdr:rowOff>66676</xdr:rowOff>
    </xdr:from>
    <xdr:to>
      <xdr:col>1</xdr:col>
      <xdr:colOff>657226</xdr:colOff>
      <xdr:row>19</xdr:row>
      <xdr:rowOff>690130</xdr:rowOff>
    </xdr:to>
    <xdr:pic>
      <xdr:nvPicPr>
        <xdr:cNvPr id="61" name="Picture 60" descr="NEWPORT MAN SEEN 'IN DRINK' ARRESTED ON SUSPICION OF MULTIPLE MOTORING ..."/>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876801" y="13439776"/>
          <a:ext cx="685800" cy="623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19</xdr:row>
      <xdr:rowOff>704850</xdr:rowOff>
    </xdr:from>
    <xdr:to>
      <xdr:col>1</xdr:col>
      <xdr:colOff>625570</xdr:colOff>
      <xdr:row>20</xdr:row>
      <xdr:rowOff>704850</xdr:rowOff>
    </xdr:to>
    <xdr:pic>
      <xdr:nvPicPr>
        <xdr:cNvPr id="62" name="Picture 61" descr="Hertfordshire Constabulary (Police)"/>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914900" y="14077950"/>
          <a:ext cx="616045"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6</xdr:col>
      <xdr:colOff>304800</xdr:colOff>
      <xdr:row>1</xdr:row>
      <xdr:rowOff>304800</xdr:rowOff>
    </xdr:to>
    <xdr:sp macro="" textlink="">
      <xdr:nvSpPr>
        <xdr:cNvPr id="59397" name="AutoShape 5" descr="Bristol Road Justice meet with Avon &amp; Somerset Police – Bristol Cycling ..."/>
        <xdr:cNvSpPr>
          <a:spLocks noChangeAspect="1" noChangeArrowheads="1"/>
        </xdr:cNvSpPr>
      </xdr:nvSpPr>
      <xdr:spPr bwMode="auto">
        <a:xfrm>
          <a:off x="8658225" y="742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xdr:row>
      <xdr:rowOff>0</xdr:rowOff>
    </xdr:from>
    <xdr:to>
      <xdr:col>6</xdr:col>
      <xdr:colOff>304800</xdr:colOff>
      <xdr:row>1</xdr:row>
      <xdr:rowOff>304800</xdr:rowOff>
    </xdr:to>
    <xdr:sp macro="" textlink="">
      <xdr:nvSpPr>
        <xdr:cNvPr id="59398" name="AutoShape 6" descr="Bristol Road Justice meet with Avon &amp; Somerset Police – Bristol Cycling ..."/>
        <xdr:cNvSpPr>
          <a:spLocks noChangeAspect="1" noChangeArrowheads="1"/>
        </xdr:cNvSpPr>
      </xdr:nvSpPr>
      <xdr:spPr bwMode="auto">
        <a:xfrm>
          <a:off x="8658225" y="742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xdr:row>
      <xdr:rowOff>0</xdr:rowOff>
    </xdr:from>
    <xdr:to>
      <xdr:col>6</xdr:col>
      <xdr:colOff>304800</xdr:colOff>
      <xdr:row>1</xdr:row>
      <xdr:rowOff>304800</xdr:rowOff>
    </xdr:to>
    <xdr:sp macro="" textlink="">
      <xdr:nvSpPr>
        <xdr:cNvPr id="59399" name="AutoShape 7" descr="Bristol Road Justice meet with Avon &amp; Somerset Police – Bristol Cycling ..."/>
        <xdr:cNvSpPr>
          <a:spLocks noChangeAspect="1" noChangeArrowheads="1"/>
        </xdr:cNvSpPr>
      </xdr:nvSpPr>
      <xdr:spPr bwMode="auto">
        <a:xfrm>
          <a:off x="8658225" y="742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22874</xdr:colOff>
      <xdr:row>1</xdr:row>
      <xdr:rowOff>714375</xdr:rowOff>
    </xdr:from>
    <xdr:to>
      <xdr:col>1</xdr:col>
      <xdr:colOff>642845</xdr:colOff>
      <xdr:row>2</xdr:row>
      <xdr:rowOff>695325</xdr:rowOff>
    </xdr:to>
    <xdr:pic>
      <xdr:nvPicPr>
        <xdr:cNvPr id="69" name="Picture 68" descr="Avon and Somerset Police - The Diversity Trust"/>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928249" y="1457325"/>
          <a:ext cx="619971"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4848225</xdr:colOff>
      <xdr:row>2</xdr:row>
      <xdr:rowOff>695325</xdr:rowOff>
    </xdr:from>
    <xdr:to>
      <xdr:col>1</xdr:col>
      <xdr:colOff>704849</xdr:colOff>
      <xdr:row>3</xdr:row>
      <xdr:rowOff>714374</xdr:rowOff>
    </xdr:to>
    <xdr:pic>
      <xdr:nvPicPr>
        <xdr:cNvPr id="74" name="Picture 73" descr="About Us - Bedfordshire Alert"/>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848225" y="2181225"/>
          <a:ext cx="761999" cy="761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4848225</xdr:colOff>
      <xdr:row>3</xdr:row>
      <xdr:rowOff>704850</xdr:rowOff>
    </xdr:from>
    <xdr:to>
      <xdr:col>2</xdr:col>
      <xdr:colOff>19050</xdr:colOff>
      <xdr:row>5</xdr:row>
      <xdr:rowOff>0</xdr:rowOff>
    </xdr:to>
    <xdr:pic>
      <xdr:nvPicPr>
        <xdr:cNvPr id="75" name="Picture 74" descr="Cambridgeshire Constabulary - Contensis case study"/>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848225" y="2933700"/>
          <a:ext cx="781050"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38101</xdr:colOff>
      <xdr:row>5</xdr:row>
      <xdr:rowOff>14287</xdr:rowOff>
    </xdr:from>
    <xdr:to>
      <xdr:col>1</xdr:col>
      <xdr:colOff>595825</xdr:colOff>
      <xdr:row>5</xdr:row>
      <xdr:rowOff>704851</xdr:rowOff>
    </xdr:to>
    <xdr:pic>
      <xdr:nvPicPr>
        <xdr:cNvPr id="79" name="Picture 78" descr="Cheshire police one of the Six police forces to join together to target ..."/>
        <xdr:cNvPicPr>
          <a:picLocks noChangeAspect="1" noChangeArrowheads="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l="30103" t="-294" r="29515" b="294"/>
        <a:stretch/>
      </xdr:blipFill>
      <xdr:spPr bwMode="auto">
        <a:xfrm>
          <a:off x="4943476" y="3729037"/>
          <a:ext cx="557724" cy="6905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31749</xdr:colOff>
      <xdr:row>6</xdr:row>
      <xdr:rowOff>200026</xdr:rowOff>
    </xdr:from>
    <xdr:to>
      <xdr:col>1</xdr:col>
      <xdr:colOff>666749</xdr:colOff>
      <xdr:row>6</xdr:row>
      <xdr:rowOff>504826</xdr:rowOff>
    </xdr:to>
    <xdr:pic>
      <xdr:nvPicPr>
        <xdr:cNvPr id="83" name="Picture 82" descr="City of London Police - Resource Centre | Esri UK &amp; Ireland"/>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937124" y="4657726"/>
          <a:ext cx="6350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43260</xdr:colOff>
      <xdr:row>7</xdr:row>
      <xdr:rowOff>38101</xdr:rowOff>
    </xdr:from>
    <xdr:to>
      <xdr:col>1</xdr:col>
      <xdr:colOff>590550</xdr:colOff>
      <xdr:row>7</xdr:row>
      <xdr:rowOff>668109</xdr:rowOff>
    </xdr:to>
    <xdr:pic>
      <xdr:nvPicPr>
        <xdr:cNvPr id="84" name="Picture 83" descr="Crime Hotspots"/>
        <xdr:cNvPicPr>
          <a:picLocks noChangeAspect="1" noChangeArrowheads="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b="31611"/>
        <a:stretch/>
      </xdr:blipFill>
      <xdr:spPr bwMode="auto">
        <a:xfrm>
          <a:off x="4948635" y="5238751"/>
          <a:ext cx="547290" cy="6300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38101</xdr:colOff>
      <xdr:row>7</xdr:row>
      <xdr:rowOff>717449</xdr:rowOff>
    </xdr:from>
    <xdr:to>
      <xdr:col>1</xdr:col>
      <xdr:colOff>602749</xdr:colOff>
      <xdr:row>8</xdr:row>
      <xdr:rowOff>628651</xdr:rowOff>
    </xdr:to>
    <xdr:pic>
      <xdr:nvPicPr>
        <xdr:cNvPr id="87" name="Picture 86" descr="Home | Cumbria Police"/>
        <xdr:cNvPicPr>
          <a:picLocks noChangeAspect="1" noChangeArrowheads="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r="59060"/>
        <a:stretch/>
      </xdr:blipFill>
      <xdr:spPr bwMode="auto">
        <a:xfrm>
          <a:off x="4943476" y="5918099"/>
          <a:ext cx="564648" cy="654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46349</xdr:colOff>
      <xdr:row>9</xdr:row>
      <xdr:rowOff>28575</xdr:rowOff>
    </xdr:from>
    <xdr:to>
      <xdr:col>1</xdr:col>
      <xdr:colOff>581024</xdr:colOff>
      <xdr:row>9</xdr:row>
      <xdr:rowOff>666749</xdr:rowOff>
    </xdr:to>
    <xdr:pic>
      <xdr:nvPicPr>
        <xdr:cNvPr id="88" name="Picture 87" descr="Senior HR Advisor - LGBT Jobs"/>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951724" y="6715125"/>
          <a:ext cx="534675" cy="638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72331</xdr:colOff>
      <xdr:row>10</xdr:row>
      <xdr:rowOff>47625</xdr:rowOff>
    </xdr:from>
    <xdr:to>
      <xdr:col>1</xdr:col>
      <xdr:colOff>600075</xdr:colOff>
      <xdr:row>10</xdr:row>
      <xdr:rowOff>609600</xdr:rowOff>
    </xdr:to>
    <xdr:pic>
      <xdr:nvPicPr>
        <xdr:cNvPr id="89" name="Picture 88" descr="Devon and Cornwall Police - Locksmith Training Courses | MPL"/>
        <xdr:cNvPicPr>
          <a:picLocks noChangeAspect="1" noChangeArrowheads="1"/>
        </xdr:cNvPicPr>
      </xdr:nvPicPr>
      <xdr:blipFill rotWithShape="1">
        <a:blip xmlns:r="http://schemas.openxmlformats.org/officeDocument/2006/relationships" r:embed="rId19">
          <a:extLst>
            <a:ext uri="{28A0092B-C50C-407E-A947-70E740481C1C}">
              <a14:useLocalDpi xmlns:a14="http://schemas.microsoft.com/office/drawing/2010/main" val="0"/>
            </a:ext>
          </a:extLst>
        </a:blip>
        <a:srcRect b="18056"/>
        <a:stretch/>
      </xdr:blipFill>
      <xdr:spPr bwMode="auto">
        <a:xfrm>
          <a:off x="4977706" y="7477125"/>
          <a:ext cx="527744"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57151</xdr:colOff>
      <xdr:row>10</xdr:row>
      <xdr:rowOff>733426</xdr:rowOff>
    </xdr:from>
    <xdr:to>
      <xdr:col>1</xdr:col>
      <xdr:colOff>628651</xdr:colOff>
      <xdr:row>11</xdr:row>
      <xdr:rowOff>668156</xdr:rowOff>
    </xdr:to>
    <xdr:pic>
      <xdr:nvPicPr>
        <xdr:cNvPr id="90" name="Picture 89" descr="Advice about domestic abuse | Dorset Police"/>
        <xdr:cNvPicPr>
          <a:picLocks noChangeAspect="1" noChangeArrowheads="1"/>
        </xdr:cNvPicPr>
      </xdr:nvPicPr>
      <xdr:blipFill rotWithShape="1">
        <a:blip xmlns:r="http://schemas.openxmlformats.org/officeDocument/2006/relationships" r:embed="rId20">
          <a:extLst>
            <a:ext uri="{28A0092B-C50C-407E-A947-70E740481C1C}">
              <a14:useLocalDpi xmlns:a14="http://schemas.microsoft.com/office/drawing/2010/main" val="0"/>
            </a:ext>
          </a:extLst>
        </a:blip>
        <a:srcRect r="65794"/>
        <a:stretch/>
      </xdr:blipFill>
      <xdr:spPr bwMode="auto">
        <a:xfrm>
          <a:off x="4962526" y="8162926"/>
          <a:ext cx="571500" cy="677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11</xdr:row>
      <xdr:rowOff>666750</xdr:rowOff>
    </xdr:from>
    <xdr:to>
      <xdr:col>1</xdr:col>
      <xdr:colOff>619125</xdr:colOff>
      <xdr:row>12</xdr:row>
      <xdr:rowOff>667893</xdr:rowOff>
    </xdr:to>
    <xdr:pic>
      <xdr:nvPicPr>
        <xdr:cNvPr id="91" name="Picture 90" descr="Durham Police demand mandatory medical checks - Shooting UK"/>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924425" y="8839200"/>
          <a:ext cx="600075" cy="744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7730</xdr:colOff>
      <xdr:row>13</xdr:row>
      <xdr:rowOff>0</xdr:rowOff>
    </xdr:from>
    <xdr:to>
      <xdr:col>1</xdr:col>
      <xdr:colOff>611517</xdr:colOff>
      <xdr:row>13</xdr:row>
      <xdr:rowOff>733426</xdr:rowOff>
    </xdr:to>
    <xdr:pic>
      <xdr:nvPicPr>
        <xdr:cNvPr id="92" name="Picture 91" descr="Dyfed_Powys_Crest - NicheRMS"/>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913105" y="9658350"/>
          <a:ext cx="603787" cy="7334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4886325</xdr:colOff>
      <xdr:row>13</xdr:row>
      <xdr:rowOff>742949</xdr:rowOff>
    </xdr:from>
    <xdr:to>
      <xdr:col>1</xdr:col>
      <xdr:colOff>666750</xdr:colOff>
      <xdr:row>15</xdr:row>
      <xdr:rowOff>27070</xdr:rowOff>
    </xdr:to>
    <xdr:pic>
      <xdr:nvPicPr>
        <xdr:cNvPr id="93" name="Picture 92" descr="Essex Police Badge (UK) Logo Download png"/>
        <xdr:cNvPicPr>
          <a:picLocks noChangeAspect="1" noChangeArrowheads="1"/>
        </xdr:cNvPicPr>
      </xdr:nvPicPr>
      <xdr:blipFill rotWithShape="1">
        <a:blip xmlns:r="http://schemas.openxmlformats.org/officeDocument/2006/relationships" r:embed="rId23">
          <a:extLst>
            <a:ext uri="{28A0092B-C50C-407E-A947-70E740481C1C}">
              <a14:useLocalDpi xmlns:a14="http://schemas.microsoft.com/office/drawing/2010/main" val="0"/>
            </a:ext>
          </a:extLst>
        </a:blip>
        <a:srcRect l="43000" t="19167" b="16833"/>
        <a:stretch/>
      </xdr:blipFill>
      <xdr:spPr bwMode="auto">
        <a:xfrm>
          <a:off x="4886325" y="10401299"/>
          <a:ext cx="685800" cy="770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38100</xdr:colOff>
      <xdr:row>15</xdr:row>
      <xdr:rowOff>9525</xdr:rowOff>
    </xdr:from>
    <xdr:to>
      <xdr:col>1</xdr:col>
      <xdr:colOff>604906</xdr:colOff>
      <xdr:row>15</xdr:row>
      <xdr:rowOff>685800</xdr:rowOff>
    </xdr:to>
    <xdr:pic>
      <xdr:nvPicPr>
        <xdr:cNvPr id="94" name="Picture 93" descr="Police to update crest to include King Charles cypher — Gloucester News ..."/>
        <xdr:cNvPicPr>
          <a:picLocks noChangeAspect="1" noChangeArrowheads="1"/>
        </xdr:cNvPicPr>
      </xdr:nvPicPr>
      <xdr:blipFill rotWithShape="1">
        <a:blip xmlns:r="http://schemas.openxmlformats.org/officeDocument/2006/relationships" r:embed="rId24">
          <a:extLst>
            <a:ext uri="{28A0092B-C50C-407E-A947-70E740481C1C}">
              <a14:useLocalDpi xmlns:a14="http://schemas.microsoft.com/office/drawing/2010/main" val="0"/>
            </a:ext>
          </a:extLst>
        </a:blip>
        <a:srcRect l="21750" t="4250" r="20000" b="26250"/>
        <a:stretch/>
      </xdr:blipFill>
      <xdr:spPr bwMode="auto">
        <a:xfrm>
          <a:off x="4943475" y="11153775"/>
          <a:ext cx="566806"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47626</xdr:colOff>
      <xdr:row>15</xdr:row>
      <xdr:rowOff>714375</xdr:rowOff>
    </xdr:from>
    <xdr:to>
      <xdr:col>1</xdr:col>
      <xdr:colOff>628650</xdr:colOff>
      <xdr:row>16</xdr:row>
      <xdr:rowOff>714375</xdr:rowOff>
    </xdr:to>
    <xdr:pic>
      <xdr:nvPicPr>
        <xdr:cNvPr id="95" name="Picture 94" descr="Greater Manchester Police"/>
        <xdr:cNvPicPr>
          <a:picLocks noChangeAspect="1" noChangeArrowheads="1"/>
        </xdr:cNvPicPr>
      </xdr:nvPicPr>
      <xdr:blipFill rotWithShape="1">
        <a:blip xmlns:r="http://schemas.openxmlformats.org/officeDocument/2006/relationships" r:embed="rId25">
          <a:extLst>
            <a:ext uri="{28A0092B-C50C-407E-A947-70E740481C1C}">
              <a14:useLocalDpi xmlns:a14="http://schemas.microsoft.com/office/drawing/2010/main" val="0"/>
            </a:ext>
          </a:extLst>
        </a:blip>
        <a:srcRect l="21667" t="13333" r="20983" b="13333"/>
        <a:stretch/>
      </xdr:blipFill>
      <xdr:spPr bwMode="auto">
        <a:xfrm>
          <a:off x="4953001" y="11858625"/>
          <a:ext cx="581024"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4876800</xdr:colOff>
      <xdr:row>18</xdr:row>
      <xdr:rowOff>28575</xdr:rowOff>
    </xdr:from>
    <xdr:to>
      <xdr:col>2</xdr:col>
      <xdr:colOff>9525</xdr:colOff>
      <xdr:row>19</xdr:row>
      <xdr:rowOff>28575</xdr:rowOff>
    </xdr:to>
    <xdr:pic>
      <xdr:nvPicPr>
        <xdr:cNvPr id="96" name="Picture 95" descr="Gwent Police | Cwmbran"/>
        <xdr:cNvPicPr>
          <a:picLocks noChangeAspect="1" noChangeArrowheads="1"/>
        </xdr:cNvPicPr>
      </xdr:nvPicPr>
      <xdr:blipFill>
        <a:blip xmlns:r="http://schemas.openxmlformats.org/officeDocument/2006/relationships" r:embed="rId26">
          <a:extLst>
            <a:ext uri="{BEBA8EAE-BF5A-486C-A8C5-ECC9F3942E4B}">
              <a14:imgProps xmlns:a14="http://schemas.microsoft.com/office/drawing/2010/main">
                <a14:imgLayer r:embed="rId27">
                  <a14:imgEffect>
                    <a14:backgroundRemoval t="4911" b="93304" l="9375" r="89286">
                      <a14:foregroundMark x1="51339" y1="73214" x2="51339" y2="73214"/>
                      <a14:foregroundMark x1="61161" y1="72321" x2="56696" y2="69643"/>
                      <a14:foregroundMark x1="50446" y1="5357" x2="50446" y2="5357"/>
                      <a14:foregroundMark x1="50000" y1="93304" x2="50000" y2="93304"/>
                    </a14:backgroundRemoval>
                  </a14:imgEffect>
                </a14:imgLayer>
              </a14:imgProps>
            </a:ext>
            <a:ext uri="{28A0092B-C50C-407E-A947-70E740481C1C}">
              <a14:useLocalDpi xmlns:a14="http://schemas.microsoft.com/office/drawing/2010/main" val="0"/>
            </a:ext>
          </a:extLst>
        </a:blip>
        <a:srcRect/>
        <a:stretch>
          <a:fillRect/>
        </a:stretch>
      </xdr:blipFill>
      <xdr:spPr bwMode="auto">
        <a:xfrm>
          <a:off x="4876800" y="12658725"/>
          <a:ext cx="7429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xdr:row>
      <xdr:rowOff>0</xdr:rowOff>
    </xdr:from>
    <xdr:to>
      <xdr:col>4</xdr:col>
      <xdr:colOff>304800</xdr:colOff>
      <xdr:row>20</xdr:row>
      <xdr:rowOff>304800</xdr:rowOff>
    </xdr:to>
    <xdr:sp macro="" textlink="">
      <xdr:nvSpPr>
        <xdr:cNvPr id="59416" name="AutoShape 24" descr="American Vinyl Hertfordshire Constabulary Sticker Indonesia | Ubuy"/>
        <xdr:cNvSpPr>
          <a:spLocks noChangeAspect="1" noChangeArrowheads="1"/>
        </xdr:cNvSpPr>
      </xdr:nvSpPr>
      <xdr:spPr bwMode="auto">
        <a:xfrm>
          <a:off x="7134225" y="14116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4838701</xdr:colOff>
      <xdr:row>22</xdr:row>
      <xdr:rowOff>742949</xdr:rowOff>
    </xdr:from>
    <xdr:to>
      <xdr:col>1</xdr:col>
      <xdr:colOff>638176</xdr:colOff>
      <xdr:row>24</xdr:row>
      <xdr:rowOff>48704</xdr:rowOff>
    </xdr:to>
    <xdr:pic>
      <xdr:nvPicPr>
        <xdr:cNvPr id="98" name="Picture 97" descr="Home | Kent Police"/>
        <xdr:cNvPicPr>
          <a:picLocks noChangeAspect="1" noChangeArrowheads="1"/>
        </xdr:cNvPicPr>
      </xdr:nvPicPr>
      <xdr:blipFill rotWithShape="1">
        <a:blip xmlns:r="http://schemas.openxmlformats.org/officeDocument/2006/relationships" r:embed="rId28">
          <a:extLst>
            <a:ext uri="{28A0092B-C50C-407E-A947-70E740481C1C}">
              <a14:useLocalDpi xmlns:a14="http://schemas.microsoft.com/office/drawing/2010/main" val="0"/>
            </a:ext>
          </a:extLst>
        </a:blip>
        <a:srcRect l="5762" t="3746" r="56506" b="11520"/>
        <a:stretch/>
      </xdr:blipFill>
      <xdr:spPr bwMode="auto">
        <a:xfrm>
          <a:off x="4838701" y="17087849"/>
          <a:ext cx="704850" cy="791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20</xdr:row>
      <xdr:rowOff>0</xdr:rowOff>
    </xdr:from>
    <xdr:to>
      <xdr:col>5</xdr:col>
      <xdr:colOff>304800</xdr:colOff>
      <xdr:row>20</xdr:row>
      <xdr:rowOff>304800</xdr:rowOff>
    </xdr:to>
    <xdr:sp macro="" textlink="">
      <xdr:nvSpPr>
        <xdr:cNvPr id="59419" name="AutoShape 27" descr="Kent Police - Wikipedia"/>
        <xdr:cNvSpPr>
          <a:spLocks noChangeAspect="1" noChangeArrowheads="1"/>
        </xdr:cNvSpPr>
      </xdr:nvSpPr>
      <xdr:spPr bwMode="auto">
        <a:xfrm>
          <a:off x="7896225" y="14116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704850</xdr:rowOff>
    </xdr:from>
    <xdr:to>
      <xdr:col>1</xdr:col>
      <xdr:colOff>648105</xdr:colOff>
      <xdr:row>25</xdr:row>
      <xdr:rowOff>0</xdr:rowOff>
    </xdr:to>
    <xdr:pic>
      <xdr:nvPicPr>
        <xdr:cNvPr id="99" name="Picture 98" descr="Home - Lancashire Police Museum"/>
        <xdr:cNvPicPr>
          <a:picLocks noChangeAspect="1" noChangeArrowheads="1"/>
        </xdr:cNvPicPr>
      </xdr:nvPicPr>
      <xdr:blipFill rotWithShape="1">
        <a:blip xmlns:r="http://schemas.openxmlformats.org/officeDocument/2006/relationships" r:embed="rId29">
          <a:extLst>
            <a:ext uri="{28A0092B-C50C-407E-A947-70E740481C1C}">
              <a14:useLocalDpi xmlns:a14="http://schemas.microsoft.com/office/drawing/2010/main" val="0"/>
            </a:ext>
          </a:extLst>
        </a:blip>
        <a:srcRect l="29787" r="28723"/>
        <a:stretch/>
      </xdr:blipFill>
      <xdr:spPr bwMode="auto">
        <a:xfrm>
          <a:off x="4905375" y="16306800"/>
          <a:ext cx="64810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4876801</xdr:colOff>
      <xdr:row>25</xdr:row>
      <xdr:rowOff>47626</xdr:rowOff>
    </xdr:from>
    <xdr:to>
      <xdr:col>1</xdr:col>
      <xdr:colOff>657226</xdr:colOff>
      <xdr:row>25</xdr:row>
      <xdr:rowOff>733426</xdr:rowOff>
    </xdr:to>
    <xdr:pic>
      <xdr:nvPicPr>
        <xdr:cNvPr id="100" name="Picture 99" descr="Leicestershire Police"/>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4876801" y="17135476"/>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57151</xdr:colOff>
      <xdr:row>26</xdr:row>
      <xdr:rowOff>76200</xdr:rowOff>
    </xdr:from>
    <xdr:to>
      <xdr:col>1</xdr:col>
      <xdr:colOff>571501</xdr:colOff>
      <xdr:row>26</xdr:row>
      <xdr:rowOff>680694</xdr:rowOff>
    </xdr:to>
    <xdr:pic>
      <xdr:nvPicPr>
        <xdr:cNvPr id="101" name="Picture 100" descr="Lincolnshire Police - Wikipedia"/>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4962526" y="17907000"/>
          <a:ext cx="514350" cy="6044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xdr:colOff>
      <xdr:row>27</xdr:row>
      <xdr:rowOff>19051</xdr:rowOff>
    </xdr:from>
    <xdr:to>
      <xdr:col>1</xdr:col>
      <xdr:colOff>600075</xdr:colOff>
      <xdr:row>27</xdr:row>
      <xdr:rowOff>662845</xdr:rowOff>
    </xdr:to>
    <xdr:pic>
      <xdr:nvPicPr>
        <xdr:cNvPr id="102" name="Picture 101" descr="Merseyside Police - Wikipedia"/>
        <xdr:cNvPicPr>
          <a:picLocks noChangeAspect="1" noChangeArrowheads="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r="59546"/>
        <a:stretch/>
      </xdr:blipFill>
      <xdr:spPr bwMode="auto">
        <a:xfrm>
          <a:off x="5000625" y="18592801"/>
          <a:ext cx="504825" cy="643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28</xdr:row>
      <xdr:rowOff>95250</xdr:rowOff>
    </xdr:from>
    <xdr:to>
      <xdr:col>1</xdr:col>
      <xdr:colOff>571499</xdr:colOff>
      <xdr:row>28</xdr:row>
      <xdr:rowOff>619124</xdr:rowOff>
    </xdr:to>
    <xdr:pic>
      <xdr:nvPicPr>
        <xdr:cNvPr id="103" name="Picture 102" descr="A mockup of the potential new Metropolitan Police crest : r/policeuk"/>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4953000" y="1941195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52251</xdr:colOff>
      <xdr:row>28</xdr:row>
      <xdr:rowOff>714375</xdr:rowOff>
    </xdr:from>
    <xdr:to>
      <xdr:col>1</xdr:col>
      <xdr:colOff>638175</xdr:colOff>
      <xdr:row>29</xdr:row>
      <xdr:rowOff>719973</xdr:rowOff>
    </xdr:to>
    <xdr:pic>
      <xdr:nvPicPr>
        <xdr:cNvPr id="104" name="Picture 103" descr="Police - Knapton Parish Council"/>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4957626" y="20031075"/>
          <a:ext cx="585924" cy="7485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66674</xdr:colOff>
      <xdr:row>30</xdr:row>
      <xdr:rowOff>73352</xdr:rowOff>
    </xdr:from>
    <xdr:to>
      <xdr:col>1</xdr:col>
      <xdr:colOff>628649</xdr:colOff>
      <xdr:row>30</xdr:row>
      <xdr:rowOff>723899</xdr:rowOff>
    </xdr:to>
    <xdr:pic>
      <xdr:nvPicPr>
        <xdr:cNvPr id="105" name="Picture 104" descr="About Us | North Wales Police Case Study | North wales, West yorkshire ..."/>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972049" y="20875952"/>
          <a:ext cx="561975" cy="6505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47626</xdr:colOff>
      <xdr:row>31</xdr:row>
      <xdr:rowOff>9526</xdr:rowOff>
    </xdr:from>
    <xdr:to>
      <xdr:col>1</xdr:col>
      <xdr:colOff>619126</xdr:colOff>
      <xdr:row>32</xdr:row>
      <xdr:rowOff>1682</xdr:rowOff>
    </xdr:to>
    <xdr:pic>
      <xdr:nvPicPr>
        <xdr:cNvPr id="107" name="Picture 106" descr="North Yorkshire Police - StarTraq"/>
        <xdr:cNvPicPr>
          <a:picLocks noChangeAspect="1" noChangeArrowheads="1"/>
        </xdr:cNvPicPr>
      </xdr:nvPicPr>
      <xdr:blipFill rotWithShape="1">
        <a:blip xmlns:r="http://schemas.openxmlformats.org/officeDocument/2006/relationships" r:embed="rId36">
          <a:extLst>
            <a:ext uri="{28A0092B-C50C-407E-A947-70E740481C1C}">
              <a14:useLocalDpi xmlns:a14="http://schemas.microsoft.com/office/drawing/2010/main" val="0"/>
            </a:ext>
          </a:extLst>
        </a:blip>
        <a:srcRect l="32527" t="12959" r="33199" b="16199"/>
        <a:stretch/>
      </xdr:blipFill>
      <xdr:spPr bwMode="auto">
        <a:xfrm>
          <a:off x="4953001" y="21555076"/>
          <a:ext cx="571500" cy="7351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25592</xdr:colOff>
      <xdr:row>32</xdr:row>
      <xdr:rowOff>47625</xdr:rowOff>
    </xdr:from>
    <xdr:to>
      <xdr:col>1</xdr:col>
      <xdr:colOff>628648</xdr:colOff>
      <xdr:row>33</xdr:row>
      <xdr:rowOff>9523</xdr:rowOff>
    </xdr:to>
    <xdr:pic>
      <xdr:nvPicPr>
        <xdr:cNvPr id="108" name="Picture 107" descr="northants_police_logo-2 - Raunds Town Voice"/>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4930967" y="22336125"/>
          <a:ext cx="603056" cy="7048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36</xdr:row>
      <xdr:rowOff>0</xdr:rowOff>
    </xdr:from>
    <xdr:to>
      <xdr:col>4</xdr:col>
      <xdr:colOff>304800</xdr:colOff>
      <xdr:row>36</xdr:row>
      <xdr:rowOff>304800</xdr:rowOff>
    </xdr:to>
    <xdr:sp macro="" textlink="">
      <xdr:nvSpPr>
        <xdr:cNvPr id="59430" name="AutoShape 38" descr="Police cleared after wife took her life following tragic last shopping ..."/>
        <xdr:cNvSpPr>
          <a:spLocks noChangeAspect="1" noChangeArrowheads="1"/>
        </xdr:cNvSpPr>
      </xdr:nvSpPr>
      <xdr:spPr bwMode="auto">
        <a:xfrm>
          <a:off x="7134225" y="2526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33</xdr:row>
      <xdr:rowOff>0</xdr:rowOff>
    </xdr:from>
    <xdr:to>
      <xdr:col>5</xdr:col>
      <xdr:colOff>304800</xdr:colOff>
      <xdr:row>33</xdr:row>
      <xdr:rowOff>304800</xdr:rowOff>
    </xdr:to>
    <xdr:sp macro="" textlink="">
      <xdr:nvSpPr>
        <xdr:cNvPr id="59431" name="AutoShape 39" descr="Police cleared after wife took her life following tragic last shopping ..."/>
        <xdr:cNvSpPr>
          <a:spLocks noChangeAspect="1" noChangeArrowheads="1"/>
        </xdr:cNvSpPr>
      </xdr:nvSpPr>
      <xdr:spPr bwMode="auto">
        <a:xfrm>
          <a:off x="7896225" y="2303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9525</xdr:colOff>
      <xdr:row>33</xdr:row>
      <xdr:rowOff>28575</xdr:rowOff>
    </xdr:from>
    <xdr:to>
      <xdr:col>1</xdr:col>
      <xdr:colOff>644254</xdr:colOff>
      <xdr:row>33</xdr:row>
      <xdr:rowOff>714374</xdr:rowOff>
    </xdr:to>
    <xdr:pic>
      <xdr:nvPicPr>
        <xdr:cNvPr id="109" name="Picture 108" descr="Vehicular anti social behaviour in Amble - The Amble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4914900" y="23060025"/>
          <a:ext cx="634729" cy="685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33</xdr:row>
      <xdr:rowOff>723900</xdr:rowOff>
    </xdr:from>
    <xdr:to>
      <xdr:col>1</xdr:col>
      <xdr:colOff>628650</xdr:colOff>
      <xdr:row>35</xdr:row>
      <xdr:rowOff>2801</xdr:rowOff>
    </xdr:to>
    <xdr:pic>
      <xdr:nvPicPr>
        <xdr:cNvPr id="110" name="Picture 109" descr="Domestic abuse detective describes reality of male violence against ..."/>
        <xdr:cNvPicPr>
          <a:picLocks noChangeAspect="1" noChangeArrowheads="1"/>
        </xdr:cNvPicPr>
      </xdr:nvPicPr>
      <xdr:blipFill rotWithShape="1">
        <a:blip xmlns:r="http://schemas.openxmlformats.org/officeDocument/2006/relationships" r:embed="rId39">
          <a:extLst>
            <a:ext uri="{28A0092B-C50C-407E-A947-70E740481C1C}">
              <a14:useLocalDpi xmlns:a14="http://schemas.microsoft.com/office/drawing/2010/main" val="0"/>
            </a:ext>
          </a:extLst>
        </a:blip>
        <a:srcRect r="67722"/>
        <a:stretch/>
      </xdr:blipFill>
      <xdr:spPr bwMode="auto">
        <a:xfrm>
          <a:off x="4914900" y="23755350"/>
          <a:ext cx="619125" cy="764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4848224</xdr:colOff>
      <xdr:row>35</xdr:row>
      <xdr:rowOff>9524</xdr:rowOff>
    </xdr:from>
    <xdr:to>
      <xdr:col>2</xdr:col>
      <xdr:colOff>0</xdr:colOff>
      <xdr:row>36</xdr:row>
      <xdr:rowOff>28575</xdr:rowOff>
    </xdr:to>
    <xdr:pic>
      <xdr:nvPicPr>
        <xdr:cNvPr id="111" name="Picture 110" descr="South Wales Police - YouTube"/>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4848224" y="24526874"/>
          <a:ext cx="762001" cy="762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38100</xdr:colOff>
      <xdr:row>37</xdr:row>
      <xdr:rowOff>104775</xdr:rowOff>
    </xdr:from>
    <xdr:to>
      <xdr:col>1</xdr:col>
      <xdr:colOff>628649</xdr:colOff>
      <xdr:row>37</xdr:row>
      <xdr:rowOff>695324</xdr:rowOff>
    </xdr:to>
    <xdr:pic>
      <xdr:nvPicPr>
        <xdr:cNvPr id="112" name="Picture 111" descr="Staffordshire Police - YouTube"/>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4943475" y="26108025"/>
          <a:ext cx="590549" cy="590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33641</xdr:colOff>
      <xdr:row>39</xdr:row>
      <xdr:rowOff>0</xdr:rowOff>
    </xdr:from>
    <xdr:to>
      <xdr:col>1</xdr:col>
      <xdr:colOff>581025</xdr:colOff>
      <xdr:row>39</xdr:row>
      <xdr:rowOff>695325</xdr:rowOff>
    </xdr:to>
    <xdr:pic>
      <xdr:nvPicPr>
        <xdr:cNvPr id="113" name="Picture 112" descr="Halesworth Town Council | Suffolk Police"/>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4939016" y="26746200"/>
          <a:ext cx="547384"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40</xdr:row>
      <xdr:rowOff>38100</xdr:rowOff>
    </xdr:from>
    <xdr:to>
      <xdr:col>1</xdr:col>
      <xdr:colOff>619125</xdr:colOff>
      <xdr:row>40</xdr:row>
      <xdr:rowOff>686969</xdr:rowOff>
    </xdr:to>
    <xdr:pic>
      <xdr:nvPicPr>
        <xdr:cNvPr id="114" name="Picture 113" descr="Download HD Surrey Logo - Surrey Police Logo Transparent PNG Image ..."/>
        <xdr:cNvPicPr>
          <a:picLocks noChangeAspect="1" noChangeArrowheads="1"/>
        </xdr:cNvPicPr>
      </xdr:nvPicPr>
      <xdr:blipFill rotWithShape="1">
        <a:blip xmlns:r="http://schemas.openxmlformats.org/officeDocument/2006/relationships" r:embed="rId43">
          <a:extLst>
            <a:ext uri="{28A0092B-C50C-407E-A947-70E740481C1C}">
              <a14:useLocalDpi xmlns:a14="http://schemas.microsoft.com/office/drawing/2010/main" val="0"/>
            </a:ext>
          </a:extLst>
        </a:blip>
        <a:srcRect b="28893"/>
        <a:stretch/>
      </xdr:blipFill>
      <xdr:spPr bwMode="auto">
        <a:xfrm>
          <a:off x="4914900" y="27527250"/>
          <a:ext cx="609600" cy="648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74691</xdr:colOff>
      <xdr:row>41</xdr:row>
      <xdr:rowOff>85725</xdr:rowOff>
    </xdr:from>
    <xdr:to>
      <xdr:col>1</xdr:col>
      <xdr:colOff>581024</xdr:colOff>
      <xdr:row>41</xdr:row>
      <xdr:rowOff>657225</xdr:rowOff>
    </xdr:to>
    <xdr:pic>
      <xdr:nvPicPr>
        <xdr:cNvPr id="115" name="Picture 114" descr="Sussex Police Crest - TyreSafe"/>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4980066" y="28317825"/>
          <a:ext cx="506333"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4876800</xdr:colOff>
      <xdr:row>42</xdr:row>
      <xdr:rowOff>19050</xdr:rowOff>
    </xdr:from>
    <xdr:to>
      <xdr:col>1</xdr:col>
      <xdr:colOff>647700</xdr:colOff>
      <xdr:row>42</xdr:row>
      <xdr:rowOff>685065</xdr:rowOff>
    </xdr:to>
    <xdr:pic>
      <xdr:nvPicPr>
        <xdr:cNvPr id="116" name="Picture 115" descr="crime | Surrender your knife"/>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4876800" y="28994100"/>
          <a:ext cx="676275" cy="6660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42</xdr:row>
      <xdr:rowOff>714375</xdr:rowOff>
    </xdr:from>
    <xdr:to>
      <xdr:col>1</xdr:col>
      <xdr:colOff>619125</xdr:colOff>
      <xdr:row>43</xdr:row>
      <xdr:rowOff>673894</xdr:rowOff>
    </xdr:to>
    <xdr:pic>
      <xdr:nvPicPr>
        <xdr:cNvPr id="117" name="Picture 116" descr="Warwickshire Police Helmet"/>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4962525" y="29689425"/>
          <a:ext cx="561975" cy="702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9524</xdr:colOff>
      <xdr:row>44</xdr:row>
      <xdr:rowOff>85724</xdr:rowOff>
    </xdr:from>
    <xdr:to>
      <xdr:col>1</xdr:col>
      <xdr:colOff>609599</xdr:colOff>
      <xdr:row>44</xdr:row>
      <xdr:rowOff>685799</xdr:rowOff>
    </xdr:to>
    <xdr:pic>
      <xdr:nvPicPr>
        <xdr:cNvPr id="120" name="Picture 119" descr="West Mercia Police Logo - Shrewsbury Town Foundation"/>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4914899" y="30546674"/>
          <a:ext cx="600075" cy="600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125556</xdr:colOff>
      <xdr:row>45</xdr:row>
      <xdr:rowOff>76199</xdr:rowOff>
    </xdr:from>
    <xdr:to>
      <xdr:col>1</xdr:col>
      <xdr:colOff>561975</xdr:colOff>
      <xdr:row>45</xdr:row>
      <xdr:rowOff>618501</xdr:rowOff>
    </xdr:to>
    <xdr:pic>
      <xdr:nvPicPr>
        <xdr:cNvPr id="121" name="Picture 120" descr="West Midlands Police breach data 24 times in one year | Express &amp; Sta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5030931" y="31280099"/>
          <a:ext cx="436419" cy="542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45</xdr:row>
      <xdr:rowOff>733425</xdr:rowOff>
    </xdr:from>
    <xdr:to>
      <xdr:col>1</xdr:col>
      <xdr:colOff>647699</xdr:colOff>
      <xdr:row>46</xdr:row>
      <xdr:rowOff>609599</xdr:rowOff>
    </xdr:to>
    <xdr:pic>
      <xdr:nvPicPr>
        <xdr:cNvPr id="122" name="Picture 121" descr="West Yorkshire Police Police Officer Salaries in the United Kingdom ..."/>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4933950" y="31937325"/>
          <a:ext cx="619124" cy="619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85726</xdr:colOff>
      <xdr:row>47</xdr:row>
      <xdr:rowOff>34244</xdr:rowOff>
    </xdr:from>
    <xdr:to>
      <xdr:col>1</xdr:col>
      <xdr:colOff>590550</xdr:colOff>
      <xdr:row>47</xdr:row>
      <xdr:rowOff>647700</xdr:rowOff>
    </xdr:to>
    <xdr:pic>
      <xdr:nvPicPr>
        <xdr:cNvPr id="123" name="Picture 122" descr="Wiltshire Police opens its doors with new work experience scheme"/>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4991101" y="32724044"/>
          <a:ext cx="504824" cy="6134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48</xdr:row>
      <xdr:rowOff>47625</xdr:rowOff>
    </xdr:from>
    <xdr:to>
      <xdr:col>1</xdr:col>
      <xdr:colOff>657225</xdr:colOff>
      <xdr:row>48</xdr:row>
      <xdr:rowOff>676275</xdr:rowOff>
    </xdr:to>
    <xdr:pic>
      <xdr:nvPicPr>
        <xdr:cNvPr id="124" name="Picture 123" descr="Police Service of Northern Ireland Logo"/>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4933950" y="33480375"/>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123827</xdr:colOff>
      <xdr:row>49</xdr:row>
      <xdr:rowOff>38100</xdr:rowOff>
    </xdr:from>
    <xdr:to>
      <xdr:col>1</xdr:col>
      <xdr:colOff>552451</xdr:colOff>
      <xdr:row>49</xdr:row>
      <xdr:rowOff>626285</xdr:rowOff>
    </xdr:to>
    <xdr:pic>
      <xdr:nvPicPr>
        <xdr:cNvPr id="125" name="Picture 124" descr="Hawick role is perfect fit for local inspector | The Hawick Paper"/>
        <xdr:cNvPicPr>
          <a:picLocks noChangeAspect="1" noChangeArrowheads="1"/>
        </xdr:cNvPicPr>
      </xdr:nvPicPr>
      <xdr:blipFill rotWithShape="1">
        <a:blip xmlns:r="http://schemas.openxmlformats.org/officeDocument/2006/relationships" r:embed="rId52">
          <a:extLst>
            <a:ext uri="{28A0092B-C50C-407E-A947-70E740481C1C}">
              <a14:useLocalDpi xmlns:a14="http://schemas.microsoft.com/office/drawing/2010/main" val="0"/>
            </a:ext>
          </a:extLst>
        </a:blip>
        <a:srcRect l="35865" t="15413" r="35232" b="13909"/>
        <a:stretch/>
      </xdr:blipFill>
      <xdr:spPr bwMode="auto">
        <a:xfrm>
          <a:off x="5029202" y="34213800"/>
          <a:ext cx="428624" cy="5881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4857750</xdr:colOff>
      <xdr:row>49</xdr:row>
      <xdr:rowOff>685800</xdr:rowOff>
    </xdr:from>
    <xdr:to>
      <xdr:col>2</xdr:col>
      <xdr:colOff>19050</xdr:colOff>
      <xdr:row>50</xdr:row>
      <xdr:rowOff>714375</xdr:rowOff>
    </xdr:to>
    <xdr:pic>
      <xdr:nvPicPr>
        <xdr:cNvPr id="126" name="Picture 125" descr="British Transport Police Office Photos | Glassdoo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4857750" y="34861500"/>
          <a:ext cx="77152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19051</xdr:colOff>
      <xdr:row>51</xdr:row>
      <xdr:rowOff>19050</xdr:rowOff>
    </xdr:from>
    <xdr:to>
      <xdr:col>1</xdr:col>
      <xdr:colOff>610581</xdr:colOff>
      <xdr:row>51</xdr:row>
      <xdr:rowOff>723900</xdr:rowOff>
    </xdr:to>
    <xdr:pic>
      <xdr:nvPicPr>
        <xdr:cNvPr id="127" name="Picture 126" descr="Forces Recruiting | Civil Nuclear Constabulary - Forces Recruiting"/>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4924426" y="35680650"/>
          <a:ext cx="591530"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52</xdr:row>
      <xdr:rowOff>93934</xdr:rowOff>
    </xdr:from>
    <xdr:to>
      <xdr:col>1</xdr:col>
      <xdr:colOff>628650</xdr:colOff>
      <xdr:row>52</xdr:row>
      <xdr:rowOff>571499</xdr:rowOff>
    </xdr:to>
    <xdr:pic>
      <xdr:nvPicPr>
        <xdr:cNvPr id="128" name="Picture 127" descr="UK Ministry of Defence on the frontline of cloud-based data protection ..."/>
        <xdr:cNvPicPr>
          <a:picLocks noChangeAspect="1" noChangeArrowheads="1"/>
        </xdr:cNvPicPr>
      </xdr:nvPicPr>
      <xdr:blipFill rotWithShape="1">
        <a:blip xmlns:r="http://schemas.openxmlformats.org/officeDocument/2006/relationships" r:embed="rId55">
          <a:extLst>
            <a:ext uri="{28A0092B-C50C-407E-A947-70E740481C1C}">
              <a14:useLocalDpi xmlns:a14="http://schemas.microsoft.com/office/drawing/2010/main" val="0"/>
            </a:ext>
          </a:extLst>
        </a:blip>
        <a:srcRect l="3394"/>
        <a:stretch/>
      </xdr:blipFill>
      <xdr:spPr bwMode="auto">
        <a:xfrm>
          <a:off x="4962525" y="36498484"/>
          <a:ext cx="571500" cy="4775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38</xdr:row>
      <xdr:rowOff>125922</xdr:rowOff>
    </xdr:from>
    <xdr:to>
      <xdr:col>1</xdr:col>
      <xdr:colOff>590549</xdr:colOff>
      <xdr:row>39</xdr:row>
      <xdr:rowOff>19050</xdr:rowOff>
    </xdr:to>
    <xdr:pic>
      <xdr:nvPicPr>
        <xdr:cNvPr id="63" name="Picture 62" descr="States of Jersey Police - Wikipedia"/>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4962525" y="41731122"/>
          <a:ext cx="533399" cy="6360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51857</xdr:colOff>
      <xdr:row>17</xdr:row>
      <xdr:rowOff>114300</xdr:rowOff>
    </xdr:from>
    <xdr:to>
      <xdr:col>1</xdr:col>
      <xdr:colOff>581024</xdr:colOff>
      <xdr:row>18</xdr:row>
      <xdr:rowOff>38100</xdr:rowOff>
    </xdr:to>
    <xdr:pic>
      <xdr:nvPicPr>
        <xdr:cNvPr id="64" name="Picture 63" descr="States of Guernsey Police Service - Wikipedia"/>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4957232" y="42462450"/>
          <a:ext cx="529167"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4895851</xdr:colOff>
      <xdr:row>21</xdr:row>
      <xdr:rowOff>733426</xdr:rowOff>
    </xdr:from>
    <xdr:to>
      <xdr:col>1</xdr:col>
      <xdr:colOff>622738</xdr:colOff>
      <xdr:row>22</xdr:row>
      <xdr:rowOff>723900</xdr:rowOff>
    </xdr:to>
    <xdr:pic>
      <xdr:nvPicPr>
        <xdr:cNvPr id="65" name="Picture 64" descr="Isle of Man Constabulary - Wikipedia"/>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4895851" y="16335376"/>
          <a:ext cx="632262" cy="733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4-25%20-%20Mutual%20Aid%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C Pay award 2022-23"/>
      <sheetName val="PSC Pay Award 2024-25"/>
      <sheetName val="PSU Example 23-24"/>
      <sheetName val="2024-25 MA Rates - Template"/>
      <sheetName val="2023-24 MA rates - Template"/>
      <sheetName val="2023-24 MA rates - Final"/>
      <sheetName val="22-23vs23-24 Adj NI"/>
      <sheetName val="2022-23 vs 2023-24"/>
      <sheetName val="2022-23 Fees and Charges-Notes"/>
      <sheetName val="PSU_Example_20_21"/>
    </sheetNames>
    <sheetDataSet>
      <sheetData sheetId="0">
        <row r="2">
          <cell r="A2">
            <v>7</v>
          </cell>
          <cell r="B2">
            <v>18501</v>
          </cell>
          <cell r="C2" t="str">
            <v>£252          </v>
          </cell>
          <cell r="D2">
            <v>18753</v>
          </cell>
          <cell r="E2">
            <v>396</v>
          </cell>
          <cell r="F2">
            <v>19149</v>
          </cell>
          <cell r="G2">
            <v>1562.75</v>
          </cell>
          <cell r="H2">
            <v>4688.25</v>
          </cell>
          <cell r="I2">
            <v>20065.710000000003</v>
          </cell>
          <cell r="J2">
            <v>20358.334937500003</v>
          </cell>
          <cell r="K2">
            <v>20358</v>
          </cell>
        </row>
        <row r="3">
          <cell r="A3">
            <v>8</v>
          </cell>
          <cell r="B3">
            <v>18621</v>
          </cell>
          <cell r="C3">
            <v>252</v>
          </cell>
          <cell r="D3">
            <v>18873</v>
          </cell>
          <cell r="E3">
            <v>399</v>
          </cell>
          <cell r="F3">
            <v>19272</v>
          </cell>
          <cell r="G3">
            <v>1572.75</v>
          </cell>
          <cell r="H3">
            <v>4718.25</v>
          </cell>
          <cell r="I3">
            <v>20194.11</v>
          </cell>
          <cell r="J3">
            <v>20488.607437499999</v>
          </cell>
          <cell r="K3">
            <v>20489</v>
          </cell>
        </row>
        <row r="4">
          <cell r="A4">
            <v>9</v>
          </cell>
          <cell r="B4">
            <v>19032</v>
          </cell>
          <cell r="C4">
            <v>252</v>
          </cell>
          <cell r="D4">
            <v>19284</v>
          </cell>
          <cell r="E4">
            <v>405</v>
          </cell>
          <cell r="F4">
            <v>19689</v>
          </cell>
          <cell r="G4">
            <v>1607</v>
          </cell>
          <cell r="H4">
            <v>4821</v>
          </cell>
          <cell r="I4">
            <v>20633.88</v>
          </cell>
          <cell r="J4">
            <v>20934.79075</v>
          </cell>
          <cell r="K4">
            <v>20935</v>
          </cell>
        </row>
        <row r="5">
          <cell r="A5">
            <v>10</v>
          </cell>
          <cell r="B5">
            <v>19452</v>
          </cell>
          <cell r="C5">
            <v>252</v>
          </cell>
          <cell r="D5">
            <v>19704</v>
          </cell>
          <cell r="E5">
            <v>414</v>
          </cell>
          <cell r="F5">
            <v>20118</v>
          </cell>
          <cell r="G5">
            <v>1642</v>
          </cell>
          <cell r="H5">
            <v>4926</v>
          </cell>
          <cell r="I5">
            <v>21083.279999999999</v>
          </cell>
          <cell r="J5">
            <v>21390.744499999997</v>
          </cell>
          <cell r="K5">
            <v>21391</v>
          </cell>
        </row>
        <row r="6">
          <cell r="A6">
            <v>11</v>
          </cell>
          <cell r="B6">
            <v>19860</v>
          </cell>
          <cell r="C6">
            <v>252</v>
          </cell>
          <cell r="D6">
            <v>20112</v>
          </cell>
          <cell r="E6">
            <v>425</v>
          </cell>
          <cell r="F6">
            <v>20535</v>
          </cell>
          <cell r="G6">
            <v>1676</v>
          </cell>
          <cell r="H6">
            <v>5028</v>
          </cell>
          <cell r="I6">
            <v>21519.840000000004</v>
          </cell>
          <cell r="J6">
            <v>21833.671000000002</v>
          </cell>
          <cell r="K6">
            <v>21834</v>
          </cell>
        </row>
        <row r="7">
          <cell r="A7">
            <v>12</v>
          </cell>
          <cell r="B7">
            <v>20274</v>
          </cell>
          <cell r="C7">
            <v>252</v>
          </cell>
          <cell r="D7">
            <v>20526</v>
          </cell>
          <cell r="E7">
            <v>432</v>
          </cell>
          <cell r="F7">
            <v>20958</v>
          </cell>
          <cell r="G7">
            <v>1710.5</v>
          </cell>
          <cell r="H7">
            <v>5131.5</v>
          </cell>
          <cell r="I7">
            <v>21962.82</v>
          </cell>
          <cell r="J7">
            <v>22283.111124999996</v>
          </cell>
          <cell r="K7">
            <v>22283</v>
          </cell>
        </row>
        <row r="8">
          <cell r="A8">
            <v>13</v>
          </cell>
          <cell r="B8">
            <v>20706</v>
          </cell>
          <cell r="C8">
            <v>252</v>
          </cell>
          <cell r="D8">
            <v>20958</v>
          </cell>
          <cell r="E8">
            <v>441</v>
          </cell>
          <cell r="F8">
            <v>21399</v>
          </cell>
          <cell r="G8">
            <v>1746.5</v>
          </cell>
          <cell r="H8">
            <v>5239.5</v>
          </cell>
          <cell r="I8">
            <v>22425.06</v>
          </cell>
          <cell r="J8">
            <v>22752.092125000003</v>
          </cell>
          <cell r="K8">
            <v>22752</v>
          </cell>
        </row>
        <row r="9">
          <cell r="A9">
            <v>14</v>
          </cell>
          <cell r="B9">
            <v>21135</v>
          </cell>
          <cell r="C9">
            <v>252</v>
          </cell>
          <cell r="D9">
            <v>21387</v>
          </cell>
          <cell r="E9">
            <v>450</v>
          </cell>
          <cell r="F9">
            <v>21837</v>
          </cell>
          <cell r="G9">
            <v>1782.25</v>
          </cell>
          <cell r="H9">
            <v>5346.75</v>
          </cell>
          <cell r="I9">
            <v>22884.090000000004</v>
          </cell>
          <cell r="J9">
            <v>23217.816312499999</v>
          </cell>
          <cell r="K9">
            <v>23218</v>
          </cell>
        </row>
        <row r="10">
          <cell r="A10">
            <v>15</v>
          </cell>
          <cell r="B10">
            <v>21876</v>
          </cell>
          <cell r="C10">
            <v>252</v>
          </cell>
          <cell r="D10">
            <v>22128</v>
          </cell>
          <cell r="E10">
            <v>465</v>
          </cell>
          <cell r="F10">
            <v>22593</v>
          </cell>
          <cell r="G10">
            <v>1844</v>
          </cell>
          <cell r="H10">
            <v>5532</v>
          </cell>
          <cell r="I10">
            <v>23676.960000000003</v>
          </cell>
          <cell r="J10">
            <v>24022.249000000003</v>
          </cell>
          <cell r="K10">
            <v>24022</v>
          </cell>
        </row>
        <row r="11">
          <cell r="A11">
            <v>16</v>
          </cell>
          <cell r="B11">
            <v>22599</v>
          </cell>
          <cell r="C11">
            <v>252</v>
          </cell>
          <cell r="D11">
            <v>22851</v>
          </cell>
          <cell r="E11">
            <v>480</v>
          </cell>
          <cell r="F11">
            <v>23331</v>
          </cell>
          <cell r="G11">
            <v>1904.25</v>
          </cell>
          <cell r="H11">
            <v>5712.75</v>
          </cell>
          <cell r="I11">
            <v>24450.57</v>
          </cell>
          <cell r="J11">
            <v>24807.140812499998</v>
          </cell>
          <cell r="K11">
            <v>24807</v>
          </cell>
        </row>
        <row r="12">
          <cell r="A12">
            <v>17</v>
          </cell>
          <cell r="B12">
            <v>23406</v>
          </cell>
          <cell r="C12">
            <v>252</v>
          </cell>
          <cell r="D12">
            <v>23658</v>
          </cell>
          <cell r="E12">
            <v>498</v>
          </cell>
          <cell r="F12">
            <v>24156</v>
          </cell>
          <cell r="G12">
            <v>1971.5</v>
          </cell>
          <cell r="H12">
            <v>5914.5</v>
          </cell>
          <cell r="I12">
            <v>25314.06</v>
          </cell>
          <cell r="J12">
            <v>25683.223375000001</v>
          </cell>
          <cell r="K12">
            <v>25683</v>
          </cell>
        </row>
        <row r="13">
          <cell r="A13">
            <v>18</v>
          </cell>
          <cell r="B13">
            <v>23817</v>
          </cell>
          <cell r="C13">
            <v>252</v>
          </cell>
          <cell r="D13">
            <v>24069</v>
          </cell>
          <cell r="E13">
            <v>507</v>
          </cell>
          <cell r="F13">
            <v>24576</v>
          </cell>
          <cell r="G13">
            <v>2005.75</v>
          </cell>
          <cell r="H13">
            <v>6017.25</v>
          </cell>
          <cell r="I13">
            <v>25753.83</v>
          </cell>
          <cell r="J13">
            <v>26129.406687499999</v>
          </cell>
          <cell r="K13">
            <v>26129</v>
          </cell>
        </row>
        <row r="14">
          <cell r="A14">
            <v>19</v>
          </cell>
          <cell r="B14">
            <v>24546</v>
          </cell>
          <cell r="E14" t="str">
            <v>     £516</v>
          </cell>
          <cell r="F14" t="str">
            <v>     £25,062</v>
          </cell>
          <cell r="G14">
            <v>2045.5</v>
          </cell>
          <cell r="H14">
            <v>6136.5</v>
          </cell>
          <cell r="I14">
            <v>26264.22</v>
          </cell>
          <cell r="J14">
            <v>26647.239874999999</v>
          </cell>
          <cell r="K14">
            <v>26647</v>
          </cell>
        </row>
        <row r="15">
          <cell r="A15">
            <v>20</v>
          </cell>
          <cell r="B15">
            <v>25278</v>
          </cell>
          <cell r="E15" t="str">
            <v>     £531</v>
          </cell>
          <cell r="F15" t="str">
            <v>     £25,809</v>
          </cell>
          <cell r="G15">
            <v>2106.5</v>
          </cell>
          <cell r="H15">
            <v>6319.5</v>
          </cell>
          <cell r="I15">
            <v>27047.46</v>
          </cell>
          <cell r="J15">
            <v>27441.902124999997</v>
          </cell>
          <cell r="K15">
            <v>27442</v>
          </cell>
        </row>
        <row r="16">
          <cell r="A16">
            <v>21</v>
          </cell>
          <cell r="B16">
            <v>26016</v>
          </cell>
          <cell r="E16" t="str">
            <v>     £549</v>
          </cell>
          <cell r="F16" t="str">
            <v>     £26,565</v>
          </cell>
          <cell r="G16">
            <v>2168</v>
          </cell>
          <cell r="H16">
            <v>6504</v>
          </cell>
          <cell r="I16">
            <v>27837.120000000003</v>
          </cell>
          <cell r="J16">
            <v>28243.078000000001</v>
          </cell>
          <cell r="K16">
            <v>28243</v>
          </cell>
        </row>
        <row r="17">
          <cell r="A17">
            <v>22</v>
          </cell>
          <cell r="B17">
            <v>26865</v>
          </cell>
          <cell r="E17" t="str">
            <v>     £567</v>
          </cell>
          <cell r="F17" t="str">
            <v>     £27,432</v>
          </cell>
          <cell r="G17">
            <v>2238.75</v>
          </cell>
          <cell r="H17">
            <v>6716.25</v>
          </cell>
          <cell r="I17">
            <v>28745.550000000003</v>
          </cell>
          <cell r="J17">
            <v>29164.755937499998</v>
          </cell>
          <cell r="K17">
            <v>29165</v>
          </cell>
        </row>
        <row r="18">
          <cell r="A18">
            <v>23</v>
          </cell>
          <cell r="B18">
            <v>27774</v>
          </cell>
          <cell r="E18" t="str">
            <v>     £585</v>
          </cell>
          <cell r="F18" t="str">
            <v>     £28,359</v>
          </cell>
          <cell r="G18">
            <v>2314.5</v>
          </cell>
          <cell r="H18">
            <v>6943.5</v>
          </cell>
          <cell r="I18">
            <v>29718.180000000004</v>
          </cell>
          <cell r="J18">
            <v>30151.570124999998</v>
          </cell>
          <cell r="K18">
            <v>30152</v>
          </cell>
        </row>
        <row r="19">
          <cell r="A19">
            <v>24</v>
          </cell>
          <cell r="B19">
            <v>28725</v>
          </cell>
          <cell r="E19" t="str">
            <v>     £606</v>
          </cell>
          <cell r="F19" t="str">
            <v>     £29,331</v>
          </cell>
          <cell r="G19">
            <v>2393.75</v>
          </cell>
          <cell r="H19">
            <v>7181.25</v>
          </cell>
          <cell r="I19">
            <v>30735.75</v>
          </cell>
          <cell r="J19">
            <v>31183.979687499996</v>
          </cell>
          <cell r="K19">
            <v>31184</v>
          </cell>
        </row>
        <row r="20">
          <cell r="A20">
            <v>25</v>
          </cell>
          <cell r="B20">
            <v>29793</v>
          </cell>
          <cell r="E20" t="str">
            <v>     £627</v>
          </cell>
          <cell r="F20" t="str">
            <v>     £30,420</v>
          </cell>
          <cell r="G20">
            <v>2482.75</v>
          </cell>
          <cell r="H20">
            <v>7448.25</v>
          </cell>
          <cell r="I20">
            <v>31878.510000000002</v>
          </cell>
          <cell r="J20">
            <v>32343.404937499996</v>
          </cell>
          <cell r="K20">
            <v>32343</v>
          </cell>
        </row>
        <row r="21">
          <cell r="A21">
            <v>26</v>
          </cell>
          <cell r="B21">
            <v>30777</v>
          </cell>
          <cell r="E21" t="str">
            <v>     £648</v>
          </cell>
          <cell r="F21" t="str">
            <v>     £31,425</v>
          </cell>
          <cell r="G21">
            <v>2564.75</v>
          </cell>
          <cell r="H21">
            <v>7694.25</v>
          </cell>
          <cell r="I21">
            <v>32931.39</v>
          </cell>
          <cell r="J21">
            <v>33411.639437499995</v>
          </cell>
          <cell r="K21">
            <v>33412</v>
          </cell>
        </row>
        <row r="22">
          <cell r="A22">
            <v>27</v>
          </cell>
          <cell r="B22">
            <v>31725</v>
          </cell>
          <cell r="E22" t="str">
            <v>     £669</v>
          </cell>
          <cell r="F22" t="str">
            <v>     £32,394</v>
          </cell>
          <cell r="G22">
            <v>2643.75</v>
          </cell>
          <cell r="H22">
            <v>7931.25</v>
          </cell>
          <cell r="I22">
            <v>33945.75</v>
          </cell>
          <cell r="J22">
            <v>34440.792187499996</v>
          </cell>
          <cell r="K22">
            <v>34441</v>
          </cell>
        </row>
        <row r="23">
          <cell r="A23">
            <v>28</v>
          </cell>
          <cell r="B23">
            <v>32673</v>
          </cell>
          <cell r="E23" t="str">
            <v>     £687</v>
          </cell>
          <cell r="F23" t="str">
            <v>     £33,360</v>
          </cell>
          <cell r="G23">
            <v>2722.75</v>
          </cell>
          <cell r="H23">
            <v>8168.25</v>
          </cell>
          <cell r="I23">
            <v>34960.11</v>
          </cell>
          <cell r="J23">
            <v>35469.944937500004</v>
          </cell>
          <cell r="K23">
            <v>35470</v>
          </cell>
        </row>
        <row r="24">
          <cell r="A24">
            <v>29</v>
          </cell>
          <cell r="B24">
            <v>33618</v>
          </cell>
          <cell r="E24" t="str">
            <v>     £708</v>
          </cell>
          <cell r="F24" t="str">
            <v>     £34,326</v>
          </cell>
          <cell r="G24">
            <v>2801.5</v>
          </cell>
          <cell r="H24">
            <v>8404.5</v>
          </cell>
          <cell r="I24">
            <v>35971.26</v>
          </cell>
          <cell r="J24">
            <v>36495.840875000002</v>
          </cell>
          <cell r="K24">
            <v>36496</v>
          </cell>
        </row>
        <row r="25">
          <cell r="A25">
            <v>30</v>
          </cell>
          <cell r="B25">
            <v>34578</v>
          </cell>
          <cell r="E25" t="str">
            <v>     £729</v>
          </cell>
          <cell r="F25" t="str">
            <v>     £35,307</v>
          </cell>
          <cell r="G25">
            <v>2881.5</v>
          </cell>
          <cell r="H25">
            <v>8644.5</v>
          </cell>
          <cell r="I25">
            <v>36998.460000000006</v>
          </cell>
          <cell r="J25">
            <v>37538.020875000002</v>
          </cell>
          <cell r="K25">
            <v>37538</v>
          </cell>
        </row>
        <row r="26">
          <cell r="A26">
            <v>31</v>
          </cell>
          <cell r="B26">
            <v>35484</v>
          </cell>
          <cell r="E26" t="str">
            <v>     £747</v>
          </cell>
          <cell r="F26" t="str">
            <v>     £36,231</v>
          </cell>
          <cell r="G26">
            <v>2957</v>
          </cell>
          <cell r="H26">
            <v>8871</v>
          </cell>
          <cell r="I26">
            <v>37967.880000000005</v>
          </cell>
          <cell r="J26">
            <v>38521.578250000006</v>
          </cell>
          <cell r="K26">
            <v>38522</v>
          </cell>
        </row>
        <row r="27">
          <cell r="A27">
            <v>32</v>
          </cell>
          <cell r="B27">
            <v>36369</v>
          </cell>
          <cell r="E27">
            <v>765</v>
          </cell>
          <cell r="F27">
            <v>37134</v>
          </cell>
          <cell r="G27">
            <v>3030.75</v>
          </cell>
          <cell r="H27">
            <v>9092.25</v>
          </cell>
          <cell r="I27">
            <v>38914.83</v>
          </cell>
          <cell r="J27">
            <v>39482.337937499993</v>
          </cell>
          <cell r="K27">
            <v>39482</v>
          </cell>
        </row>
        <row r="28">
          <cell r="A28">
            <v>33</v>
          </cell>
          <cell r="B28">
            <v>37281</v>
          </cell>
          <cell r="E28">
            <v>783</v>
          </cell>
          <cell r="F28">
            <v>38064</v>
          </cell>
          <cell r="G28">
            <v>3106.75</v>
          </cell>
          <cell r="H28">
            <v>9320.25</v>
          </cell>
          <cell r="I28">
            <v>39890.670000000006</v>
          </cell>
          <cell r="J28">
            <v>40472.408937500004</v>
          </cell>
          <cell r="K28">
            <v>40472</v>
          </cell>
        </row>
        <row r="29">
          <cell r="A29">
            <v>34</v>
          </cell>
          <cell r="B29">
            <v>38376</v>
          </cell>
          <cell r="E29">
            <v>807</v>
          </cell>
          <cell r="F29">
            <v>39183</v>
          </cell>
          <cell r="G29">
            <v>3198</v>
          </cell>
          <cell r="H29">
            <v>9594</v>
          </cell>
          <cell r="I29">
            <v>41062.32</v>
          </cell>
          <cell r="J29">
            <v>41661.145499999999</v>
          </cell>
          <cell r="K29">
            <v>41661</v>
          </cell>
        </row>
        <row r="30">
          <cell r="A30">
            <v>35</v>
          </cell>
          <cell r="B30">
            <v>39585</v>
          </cell>
          <cell r="E30">
            <v>834</v>
          </cell>
          <cell r="F30">
            <v>40419</v>
          </cell>
          <cell r="G30">
            <v>3298.75</v>
          </cell>
          <cell r="H30">
            <v>9896.25</v>
          </cell>
          <cell r="I30">
            <v>42355.950000000004</v>
          </cell>
          <cell r="J30">
            <v>42973.6409375</v>
          </cell>
          <cell r="K30">
            <v>42974</v>
          </cell>
        </row>
        <row r="31">
          <cell r="A31">
            <v>36</v>
          </cell>
          <cell r="B31">
            <v>40662</v>
          </cell>
          <cell r="E31">
            <v>855</v>
          </cell>
          <cell r="F31">
            <v>41517</v>
          </cell>
          <cell r="G31">
            <v>3388.5</v>
          </cell>
          <cell r="H31">
            <v>10165.5</v>
          </cell>
          <cell r="I31">
            <v>43508.340000000004</v>
          </cell>
          <cell r="J31">
            <v>44142.836624999996</v>
          </cell>
          <cell r="K31">
            <v>44143</v>
          </cell>
        </row>
        <row r="32">
          <cell r="A32">
            <v>37</v>
          </cell>
          <cell r="B32">
            <v>41718</v>
          </cell>
          <cell r="E32">
            <v>879</v>
          </cell>
          <cell r="F32">
            <v>42597</v>
          </cell>
          <cell r="G32">
            <v>3476.5</v>
          </cell>
          <cell r="H32">
            <v>10429.5</v>
          </cell>
          <cell r="I32">
            <v>44638.26</v>
          </cell>
          <cell r="J32">
            <v>45289.234624999997</v>
          </cell>
          <cell r="K32">
            <v>45289</v>
          </cell>
        </row>
        <row r="33">
          <cell r="A33">
            <v>38</v>
          </cell>
          <cell r="B33">
            <v>42783</v>
          </cell>
          <cell r="E33">
            <v>900</v>
          </cell>
          <cell r="F33">
            <v>43683</v>
          </cell>
          <cell r="G33">
            <v>3565.25</v>
          </cell>
          <cell r="H33">
            <v>10695.75</v>
          </cell>
          <cell r="I33">
            <v>45777.81</v>
          </cell>
          <cell r="J33">
            <v>46445.403062499994</v>
          </cell>
          <cell r="K33">
            <v>46445</v>
          </cell>
        </row>
        <row r="34">
          <cell r="A34">
            <v>39</v>
          </cell>
          <cell r="B34">
            <v>43860</v>
          </cell>
          <cell r="E34">
            <v>924</v>
          </cell>
          <cell r="F34">
            <v>44784</v>
          </cell>
          <cell r="G34">
            <v>3655</v>
          </cell>
          <cell r="H34">
            <v>10965</v>
          </cell>
          <cell r="I34">
            <v>46930.200000000004</v>
          </cell>
          <cell r="J34">
            <v>47614.598750000005</v>
          </cell>
          <cell r="K34">
            <v>47615</v>
          </cell>
        </row>
        <row r="35">
          <cell r="A35">
            <v>40</v>
          </cell>
          <cell r="B35">
            <v>44928</v>
          </cell>
          <cell r="E35">
            <v>945</v>
          </cell>
          <cell r="F35">
            <v>45873</v>
          </cell>
          <cell r="G35">
            <v>3744</v>
          </cell>
          <cell r="H35">
            <v>11232</v>
          </cell>
          <cell r="I35">
            <v>48072.960000000006</v>
          </cell>
          <cell r="J35">
            <v>48774.024000000005</v>
          </cell>
          <cell r="K35">
            <v>48774</v>
          </cell>
        </row>
        <row r="36">
          <cell r="A36">
            <v>41</v>
          </cell>
          <cell r="B36">
            <v>45996</v>
          </cell>
          <cell r="E36">
            <v>966</v>
          </cell>
          <cell r="F36">
            <v>46962</v>
          </cell>
          <cell r="G36">
            <v>3833</v>
          </cell>
          <cell r="H36">
            <v>11499</v>
          </cell>
          <cell r="I36">
            <v>49215.72</v>
          </cell>
          <cell r="J36">
            <v>49933.449250000005</v>
          </cell>
          <cell r="K36">
            <v>49933</v>
          </cell>
        </row>
        <row r="37">
          <cell r="A37">
            <v>42</v>
          </cell>
          <cell r="B37">
            <v>47058</v>
          </cell>
          <cell r="E37">
            <v>990</v>
          </cell>
          <cell r="F37">
            <v>48048</v>
          </cell>
          <cell r="G37">
            <v>3921.5</v>
          </cell>
          <cell r="H37">
            <v>11764.5</v>
          </cell>
          <cell r="I37">
            <v>50352.06</v>
          </cell>
          <cell r="J37">
            <v>51086.360874999998</v>
          </cell>
          <cell r="K37">
            <v>51086</v>
          </cell>
        </row>
        <row r="38">
          <cell r="A38">
            <v>43</v>
          </cell>
          <cell r="B38">
            <v>48123</v>
          </cell>
          <cell r="E38">
            <v>1011</v>
          </cell>
          <cell r="F38">
            <v>49134</v>
          </cell>
          <cell r="G38">
            <v>4010.25</v>
          </cell>
          <cell r="H38">
            <v>12030.75</v>
          </cell>
          <cell r="I38">
            <v>51491.610000000008</v>
          </cell>
          <cell r="J38">
            <v>52242.529312500003</v>
          </cell>
          <cell r="K38">
            <v>52243</v>
          </cell>
        </row>
        <row r="39">
          <cell r="A39">
            <v>44</v>
          </cell>
          <cell r="B39">
            <v>49182</v>
          </cell>
          <cell r="E39">
            <v>1035</v>
          </cell>
          <cell r="F39">
            <v>50217</v>
          </cell>
          <cell r="G39">
            <v>4098.5</v>
          </cell>
          <cell r="H39">
            <v>12295.5</v>
          </cell>
          <cell r="I39">
            <v>52624.740000000005</v>
          </cell>
          <cell r="J39">
            <v>53392.184125</v>
          </cell>
          <cell r="K39">
            <v>53392</v>
          </cell>
        </row>
        <row r="40">
          <cell r="A40">
            <v>45</v>
          </cell>
          <cell r="B40">
            <v>50250</v>
          </cell>
          <cell r="E40">
            <v>1056</v>
          </cell>
          <cell r="F40">
            <v>51306</v>
          </cell>
          <cell r="G40">
            <v>4187.5</v>
          </cell>
          <cell r="H40">
            <v>12562.5</v>
          </cell>
          <cell r="I40">
            <v>53767.5</v>
          </cell>
          <cell r="J40">
            <v>54551.609374999993</v>
          </cell>
          <cell r="K40">
            <v>54552</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R171"/>
  <sheetViews>
    <sheetView showGridLines="0" tabSelected="1" zoomScale="80" zoomScaleNormal="80" zoomScaleSheetLayoutView="75" zoomScalePageLayoutView="75" workbookViewId="0">
      <selection activeCell="O5" sqref="O5"/>
    </sheetView>
  </sheetViews>
  <sheetFormatPr defaultColWidth="8.88671875" defaultRowHeight="15" x14ac:dyDescent="0.2"/>
  <cols>
    <col min="1" max="2" width="9.6640625" customWidth="1"/>
    <col min="3" max="3" width="17.33203125" customWidth="1"/>
    <col min="4" max="4" width="23.33203125" customWidth="1"/>
    <col min="5" max="5" width="17.44140625" bestFit="1" customWidth="1"/>
    <col min="6" max="8" width="8" customWidth="1"/>
    <col min="9" max="9" width="4.21875" customWidth="1"/>
    <col min="10" max="10" width="11.44140625" customWidth="1"/>
    <col min="11" max="11" width="12" customWidth="1"/>
    <col min="12" max="12" width="9.6640625" customWidth="1"/>
    <col min="13" max="13" width="13.33203125" customWidth="1"/>
    <col min="14" max="18" width="8.88671875" style="85"/>
    <col min="19" max="16384" width="8.88671875" style="72"/>
  </cols>
  <sheetData>
    <row r="1" spans="1:13" x14ac:dyDescent="0.2">
      <c r="A1" s="194"/>
      <c r="B1" s="161"/>
      <c r="C1" s="161"/>
      <c r="D1" s="161"/>
      <c r="E1" s="161"/>
      <c r="F1" s="161"/>
      <c r="G1" s="161"/>
      <c r="H1" s="161"/>
      <c r="I1" s="161"/>
      <c r="J1" s="161"/>
      <c r="K1" s="161"/>
      <c r="L1" s="161"/>
      <c r="M1" s="162"/>
    </row>
    <row r="2" spans="1:13" x14ac:dyDescent="0.2">
      <c r="A2" s="265"/>
      <c r="B2" s="19"/>
      <c r="C2" s="19"/>
      <c r="D2" s="19"/>
      <c r="E2" s="19"/>
      <c r="F2" s="19"/>
      <c r="G2" s="19"/>
      <c r="H2" s="19"/>
      <c r="I2" s="19"/>
      <c r="J2" s="19"/>
      <c r="K2" s="19"/>
      <c r="L2" s="19"/>
      <c r="M2" s="266"/>
    </row>
    <row r="3" spans="1:13" x14ac:dyDescent="0.2">
      <c r="A3" s="265"/>
      <c r="B3" s="19"/>
      <c r="C3" s="19"/>
      <c r="D3" s="19"/>
      <c r="E3" s="19"/>
      <c r="F3" s="19"/>
      <c r="G3" s="19"/>
      <c r="H3" s="19"/>
      <c r="I3" s="19"/>
      <c r="J3" s="19"/>
      <c r="K3" s="19"/>
      <c r="L3" s="19"/>
      <c r="M3" s="266"/>
    </row>
    <row r="4" spans="1:13" ht="15.75" customHeight="1" x14ac:dyDescent="0.2">
      <c r="A4" s="195"/>
      <c r="B4" s="196"/>
      <c r="C4" s="196"/>
      <c r="D4" s="610" t="s">
        <v>425</v>
      </c>
      <c r="E4" s="611"/>
      <c r="F4" s="611"/>
      <c r="G4" s="611"/>
      <c r="H4" s="611"/>
      <c r="I4" s="611"/>
      <c r="J4" s="611"/>
      <c r="K4" s="196"/>
      <c r="L4" s="196"/>
      <c r="M4" s="197"/>
    </row>
    <row r="5" spans="1:13" ht="15.75" customHeight="1" x14ac:dyDescent="0.2">
      <c r="A5" s="195"/>
      <c r="B5" s="196"/>
      <c r="C5" s="196"/>
      <c r="D5" s="611"/>
      <c r="E5" s="611"/>
      <c r="F5" s="611"/>
      <c r="G5" s="611"/>
      <c r="H5" s="611"/>
      <c r="I5" s="611"/>
      <c r="J5" s="611"/>
      <c r="K5" s="196"/>
      <c r="L5" s="196"/>
      <c r="M5" s="197"/>
    </row>
    <row r="6" spans="1:13" ht="18.75" customHeight="1" x14ac:dyDescent="0.2">
      <c r="A6" s="613"/>
      <c r="B6" s="614"/>
      <c r="C6" s="614"/>
      <c r="D6" s="611"/>
      <c r="E6" s="611"/>
      <c r="F6" s="611"/>
      <c r="G6" s="611"/>
      <c r="H6" s="611"/>
      <c r="I6" s="611"/>
      <c r="J6" s="611"/>
      <c r="K6" s="615"/>
      <c r="L6" s="615"/>
      <c r="M6" s="616"/>
    </row>
    <row r="7" spans="1:13" ht="18" customHeight="1" x14ac:dyDescent="0.2">
      <c r="A7" s="613"/>
      <c r="B7" s="614"/>
      <c r="C7" s="614"/>
      <c r="D7" s="611"/>
      <c r="E7" s="611"/>
      <c r="F7" s="611"/>
      <c r="G7" s="611"/>
      <c r="H7" s="611"/>
      <c r="I7" s="611"/>
      <c r="J7" s="611"/>
      <c r="K7" s="615"/>
      <c r="L7" s="615"/>
      <c r="M7" s="616"/>
    </row>
    <row r="8" spans="1:13" ht="18" customHeight="1" x14ac:dyDescent="0.2">
      <c r="A8" s="613"/>
      <c r="B8" s="614"/>
      <c r="C8" s="614"/>
      <c r="D8" s="611"/>
      <c r="E8" s="611"/>
      <c r="F8" s="611"/>
      <c r="G8" s="611"/>
      <c r="H8" s="611"/>
      <c r="I8" s="611"/>
      <c r="J8" s="611"/>
      <c r="K8" s="615"/>
      <c r="L8" s="615"/>
      <c r="M8" s="616"/>
    </row>
    <row r="9" spans="1:13" ht="15.75" customHeight="1" x14ac:dyDescent="0.2">
      <c r="A9" s="613"/>
      <c r="B9" s="614"/>
      <c r="C9" s="614"/>
      <c r="D9" s="611"/>
      <c r="E9" s="611"/>
      <c r="F9" s="611"/>
      <c r="G9" s="611"/>
      <c r="H9" s="611"/>
      <c r="I9" s="611"/>
      <c r="J9" s="611"/>
      <c r="K9" s="615"/>
      <c r="L9" s="615"/>
      <c r="M9" s="616"/>
    </row>
    <row r="10" spans="1:13" ht="15.75" customHeight="1" x14ac:dyDescent="0.2">
      <c r="A10" s="613"/>
      <c r="B10" s="614"/>
      <c r="C10" s="614"/>
      <c r="D10" s="611"/>
      <c r="E10" s="611"/>
      <c r="F10" s="611"/>
      <c r="G10" s="611"/>
      <c r="H10" s="611"/>
      <c r="I10" s="611"/>
      <c r="J10" s="611"/>
      <c r="K10" s="615"/>
      <c r="L10" s="615"/>
      <c r="M10" s="616"/>
    </row>
    <row r="11" spans="1:13" ht="18" customHeight="1" thickBot="1" x14ac:dyDescent="0.3">
      <c r="A11" s="67"/>
      <c r="B11" s="35"/>
      <c r="C11" s="35"/>
      <c r="D11" s="612"/>
      <c r="E11" s="612"/>
      <c r="F11" s="612"/>
      <c r="G11" s="612"/>
      <c r="H11" s="612"/>
      <c r="I11" s="612"/>
      <c r="J11" s="612"/>
      <c r="K11" s="36"/>
      <c r="L11" s="36"/>
      <c r="M11" s="68"/>
    </row>
    <row r="12" spans="1:13" ht="14.25" customHeight="1" x14ac:dyDescent="0.2">
      <c r="A12" s="76"/>
      <c r="B12" s="77"/>
      <c r="C12" s="77"/>
      <c r="D12" s="77"/>
      <c r="E12" s="70"/>
      <c r="F12" s="70"/>
      <c r="G12" s="77"/>
      <c r="H12" s="77"/>
      <c r="I12" s="77"/>
      <c r="J12" s="77"/>
      <c r="K12" s="77"/>
      <c r="L12" s="77"/>
      <c r="M12" s="71"/>
    </row>
    <row r="13" spans="1:13" ht="14.25" customHeight="1" x14ac:dyDescent="0.2">
      <c r="A13" s="76"/>
      <c r="B13" s="77"/>
      <c r="C13" s="77"/>
      <c r="D13" s="77"/>
      <c r="E13" s="70"/>
      <c r="F13" s="70"/>
      <c r="G13" s="77"/>
      <c r="H13" s="77"/>
      <c r="I13" s="77"/>
      <c r="J13" s="77"/>
      <c r="K13" s="77"/>
      <c r="L13" s="77"/>
      <c r="M13" s="71"/>
    </row>
    <row r="14" spans="1:13" ht="14.25" customHeight="1" x14ac:dyDescent="0.2">
      <c r="A14" s="76"/>
      <c r="B14" s="77"/>
      <c r="C14" s="77"/>
      <c r="D14" s="77"/>
      <c r="E14" s="70"/>
      <c r="F14" s="70"/>
      <c r="G14" s="77"/>
      <c r="H14" s="77"/>
      <c r="I14" s="77"/>
      <c r="J14" s="77"/>
      <c r="K14" s="77"/>
      <c r="L14" s="77"/>
      <c r="M14" s="71"/>
    </row>
    <row r="15" spans="1:13" ht="14.25" customHeight="1" thickBot="1" x14ac:dyDescent="0.25">
      <c r="A15" s="76"/>
      <c r="B15" s="77"/>
      <c r="C15" s="77"/>
      <c r="D15" s="77"/>
      <c r="E15" s="70"/>
      <c r="F15" s="70"/>
      <c r="G15" s="77"/>
      <c r="H15" s="77"/>
      <c r="I15" s="77"/>
      <c r="J15" s="77"/>
      <c r="K15" s="77"/>
      <c r="L15" s="77"/>
      <c r="M15" s="71"/>
    </row>
    <row r="16" spans="1:13" s="181" customFormat="1" ht="18.75" thickBot="1" x14ac:dyDescent="0.3">
      <c r="A16" s="224" t="s">
        <v>252</v>
      </c>
      <c r="B16" s="225"/>
      <c r="C16" s="225"/>
      <c r="D16" s="225"/>
      <c r="E16" s="225"/>
      <c r="F16" s="225"/>
      <c r="G16" s="225"/>
      <c r="H16" s="617"/>
      <c r="I16" s="617"/>
      <c r="J16" s="617"/>
      <c r="K16" s="617"/>
      <c r="L16" s="617"/>
      <c r="M16" s="618"/>
    </row>
    <row r="17" spans="1:18" ht="14.25" customHeight="1" x14ac:dyDescent="0.2">
      <c r="A17" s="76"/>
      <c r="B17" s="77"/>
      <c r="C17" s="77"/>
      <c r="D17" s="77"/>
      <c r="E17" s="70"/>
      <c r="F17" s="70"/>
      <c r="G17" s="77"/>
      <c r="H17" s="77"/>
      <c r="I17" s="77"/>
      <c r="J17" s="77"/>
      <c r="K17" s="77"/>
      <c r="L17" s="77"/>
      <c r="M17" s="71"/>
    </row>
    <row r="18" spans="1:18" s="179" customFormat="1" ht="18" x14ac:dyDescent="0.25">
      <c r="A18" s="177" t="s">
        <v>154</v>
      </c>
      <c r="B18" s="178"/>
      <c r="C18" s="178"/>
      <c r="D18" s="178"/>
      <c r="E18" s="178"/>
      <c r="F18" s="178"/>
      <c r="G18" s="178"/>
      <c r="H18" s="619" t="s">
        <v>155</v>
      </c>
      <c r="I18" s="619"/>
      <c r="J18" s="619"/>
      <c r="K18" s="619"/>
      <c r="L18" s="619"/>
      <c r="M18" s="620"/>
      <c r="N18" s="353"/>
      <c r="O18" s="353"/>
      <c r="P18" s="353"/>
      <c r="Q18" s="353"/>
      <c r="R18" s="353"/>
    </row>
    <row r="19" spans="1:18" ht="18" customHeight="1" thickBot="1" x14ac:dyDescent="0.25">
      <c r="A19" s="69"/>
      <c r="B19" s="70"/>
      <c r="C19" s="70"/>
      <c r="D19" s="70"/>
      <c r="E19" s="70"/>
      <c r="F19" s="70"/>
      <c r="G19" s="70"/>
      <c r="H19" s="70"/>
      <c r="I19" s="70"/>
      <c r="J19" s="70"/>
      <c r="K19" s="70"/>
      <c r="L19" s="70"/>
      <c r="M19" s="71"/>
    </row>
    <row r="20" spans="1:18" s="202" customFormat="1" ht="45.75" customHeight="1" thickTop="1" thickBot="1" x14ac:dyDescent="0.35">
      <c r="A20" s="623" t="s">
        <v>7</v>
      </c>
      <c r="B20" s="624"/>
      <c r="C20" s="624"/>
      <c r="D20" s="625"/>
      <c r="E20" s="74"/>
      <c r="F20" s="74"/>
      <c r="G20" s="74"/>
      <c r="H20" s="626" t="s">
        <v>7</v>
      </c>
      <c r="I20" s="624"/>
      <c r="J20" s="624"/>
      <c r="K20" s="624"/>
      <c r="L20" s="624"/>
      <c r="M20" s="627"/>
      <c r="N20" s="203"/>
      <c r="O20" s="203"/>
      <c r="P20" s="203"/>
      <c r="Q20" s="203"/>
      <c r="R20" s="203"/>
    </row>
    <row r="21" spans="1:18" s="204" customFormat="1" ht="22.5" customHeight="1" thickTop="1" thickBot="1" x14ac:dyDescent="0.35">
      <c r="A21" s="209"/>
      <c r="B21" s="210"/>
      <c r="C21" s="210"/>
      <c r="D21" s="210"/>
      <c r="E21" s="176"/>
      <c r="F21" s="176"/>
      <c r="G21" s="176"/>
      <c r="H21" s="210"/>
      <c r="I21" s="210"/>
      <c r="J21" s="210"/>
      <c r="K21" s="210"/>
      <c r="L21" s="210"/>
      <c r="M21" s="211"/>
      <c r="N21" s="205"/>
      <c r="O21" s="205"/>
      <c r="P21" s="205"/>
      <c r="Q21" s="205"/>
      <c r="R21" s="205"/>
    </row>
    <row r="22" spans="1:18" ht="15.75" x14ac:dyDescent="0.2">
      <c r="A22" s="78" t="s">
        <v>139</v>
      </c>
      <c r="B22" s="70"/>
      <c r="C22" s="70"/>
      <c r="D22" s="593" t="s">
        <v>383</v>
      </c>
      <c r="E22" s="594"/>
      <c r="F22" s="594"/>
      <c r="G22" s="595"/>
      <c r="H22" s="80"/>
      <c r="I22" s="80" t="s">
        <v>190</v>
      </c>
      <c r="J22" s="81" t="s">
        <v>96</v>
      </c>
      <c r="K22" s="351"/>
      <c r="L22" s="81" t="s">
        <v>97</v>
      </c>
      <c r="M22" s="352"/>
    </row>
    <row r="23" spans="1:18" ht="15.75" customHeight="1" x14ac:dyDescent="0.2">
      <c r="A23" s="69"/>
      <c r="B23" s="70"/>
      <c r="C23" s="70"/>
      <c r="D23" s="596"/>
      <c r="E23" s="597"/>
      <c r="F23" s="597"/>
      <c r="G23" s="598"/>
      <c r="H23" s="82"/>
      <c r="I23" s="82"/>
      <c r="J23" s="82"/>
      <c r="K23" s="82"/>
      <c r="L23" s="70"/>
      <c r="M23" s="84" t="s">
        <v>98</v>
      </c>
    </row>
    <row r="24" spans="1:18" ht="15.75" customHeight="1" thickBot="1" x14ac:dyDescent="0.25">
      <c r="A24" s="69"/>
      <c r="B24" s="70"/>
      <c r="C24" s="70"/>
      <c r="D24" s="599"/>
      <c r="E24" s="600"/>
      <c r="F24" s="600"/>
      <c r="G24" s="601"/>
      <c r="H24" s="82"/>
      <c r="I24" s="82"/>
      <c r="J24" s="82"/>
      <c r="K24" s="82"/>
      <c r="L24" s="70"/>
      <c r="M24" s="84"/>
    </row>
    <row r="25" spans="1:18" s="185" customFormat="1" ht="18" x14ac:dyDescent="0.25">
      <c r="A25" s="191" t="s">
        <v>137</v>
      </c>
      <c r="B25" s="192"/>
      <c r="C25" s="192"/>
      <c r="D25" s="192"/>
      <c r="E25" s="192"/>
      <c r="F25" s="192"/>
      <c r="G25" s="621" t="s">
        <v>138</v>
      </c>
      <c r="H25" s="621"/>
      <c r="I25" s="621"/>
      <c r="J25" s="621"/>
      <c r="K25" s="621"/>
      <c r="L25" s="621"/>
      <c r="M25" s="622"/>
      <c r="N25" s="181"/>
      <c r="O25" s="181"/>
      <c r="P25" s="181"/>
      <c r="Q25" s="181"/>
      <c r="R25" s="181"/>
    </row>
    <row r="26" spans="1:18" x14ac:dyDescent="0.2">
      <c r="A26" s="88"/>
      <c r="B26" s="70"/>
      <c r="C26" s="70"/>
      <c r="D26" s="70"/>
      <c r="E26" s="70"/>
      <c r="F26" s="70"/>
      <c r="G26" s="89"/>
      <c r="H26" s="89"/>
      <c r="I26" s="70"/>
      <c r="J26" s="70"/>
      <c r="K26" s="70"/>
      <c r="L26" s="70"/>
      <c r="M26" s="71"/>
    </row>
    <row r="27" spans="1:18" x14ac:dyDescent="0.2">
      <c r="A27" s="88" t="s">
        <v>99</v>
      </c>
      <c r="B27" s="70"/>
      <c r="C27" s="641"/>
      <c r="D27" s="642"/>
      <c r="E27" s="643"/>
      <c r="F27" s="70"/>
      <c r="G27" s="89" t="s">
        <v>99</v>
      </c>
      <c r="H27" s="89"/>
      <c r="I27" s="608"/>
      <c r="J27" s="603"/>
      <c r="K27" s="603"/>
      <c r="L27" s="603"/>
      <c r="M27" s="609"/>
    </row>
    <row r="28" spans="1:18" x14ac:dyDescent="0.2">
      <c r="A28" s="88"/>
      <c r="B28" s="70"/>
      <c r="C28" s="93"/>
      <c r="D28" s="93"/>
      <c r="E28" s="93"/>
      <c r="F28" s="70"/>
      <c r="G28" s="89"/>
      <c r="H28" s="89"/>
      <c r="I28" s="93"/>
      <c r="J28" s="93"/>
      <c r="K28" s="93"/>
      <c r="L28" s="93"/>
      <c r="M28" s="94"/>
    </row>
    <row r="29" spans="1:18" x14ac:dyDescent="0.2">
      <c r="A29" s="88" t="s">
        <v>100</v>
      </c>
      <c r="B29" s="70"/>
      <c r="C29" s="628"/>
      <c r="D29" s="603"/>
      <c r="E29" s="604"/>
      <c r="F29" s="70"/>
      <c r="G29" s="89" t="s">
        <v>100</v>
      </c>
      <c r="H29" s="89"/>
      <c r="I29" s="608"/>
      <c r="J29" s="603"/>
      <c r="K29" s="603"/>
      <c r="L29" s="603"/>
      <c r="M29" s="609"/>
    </row>
    <row r="30" spans="1:18" x14ac:dyDescent="0.2">
      <c r="A30" s="88"/>
      <c r="B30" s="70"/>
      <c r="C30" s="93"/>
      <c r="D30" s="93"/>
      <c r="E30" s="93"/>
      <c r="F30" s="70"/>
      <c r="G30" s="70"/>
      <c r="H30" s="70"/>
      <c r="I30" s="93"/>
      <c r="J30" s="93"/>
      <c r="K30" s="93"/>
      <c r="L30" s="93"/>
      <c r="M30" s="94"/>
    </row>
    <row r="31" spans="1:18" x14ac:dyDescent="0.2">
      <c r="A31" s="88" t="s">
        <v>136</v>
      </c>
      <c r="B31" s="70"/>
      <c r="C31" s="605"/>
      <c r="D31" s="606"/>
      <c r="E31" s="607"/>
      <c r="F31" s="70"/>
      <c r="G31" s="89" t="s">
        <v>136</v>
      </c>
      <c r="H31" s="89"/>
      <c r="I31" s="608"/>
      <c r="J31" s="603"/>
      <c r="K31" s="603"/>
      <c r="L31" s="603"/>
      <c r="M31" s="609"/>
    </row>
    <row r="32" spans="1:18" x14ac:dyDescent="0.2">
      <c r="A32" s="88"/>
      <c r="B32" s="70"/>
      <c r="C32" s="95"/>
      <c r="D32" s="95"/>
      <c r="E32" s="95"/>
      <c r="F32" s="75"/>
      <c r="G32" s="91"/>
      <c r="H32" s="91"/>
      <c r="I32" s="35"/>
      <c r="J32" s="35"/>
      <c r="K32" s="35"/>
      <c r="L32" s="35"/>
      <c r="M32" s="92"/>
    </row>
    <row r="33" spans="1:18" x14ac:dyDescent="0.2">
      <c r="A33" s="88" t="s">
        <v>179</v>
      </c>
      <c r="B33" s="70"/>
      <c r="C33" s="602" t="s">
        <v>106</v>
      </c>
      <c r="D33" s="603"/>
      <c r="E33" s="604"/>
      <c r="F33" s="75"/>
      <c r="G33" s="89" t="s">
        <v>393</v>
      </c>
      <c r="H33" s="70"/>
      <c r="I33" s="602" t="s">
        <v>106</v>
      </c>
      <c r="J33" s="603"/>
      <c r="K33" s="603"/>
      <c r="L33" s="629"/>
      <c r="M33" s="630"/>
    </row>
    <row r="34" spans="1:18" ht="15.75" thickBot="1" x14ac:dyDescent="0.25">
      <c r="A34" s="90"/>
      <c r="B34" s="79"/>
      <c r="C34" s="79"/>
      <c r="D34" s="79"/>
      <c r="E34" s="79"/>
      <c r="F34" s="79"/>
      <c r="G34" s="79"/>
      <c r="H34" s="79"/>
      <c r="I34" s="79"/>
      <c r="J34" s="79"/>
      <c r="K34" s="79"/>
      <c r="L34" s="79"/>
      <c r="M34" s="83"/>
    </row>
    <row r="35" spans="1:18" x14ac:dyDescent="0.2">
      <c r="A35" s="89"/>
      <c r="B35" s="70"/>
      <c r="C35" s="70"/>
      <c r="D35" s="70"/>
      <c r="E35" s="70"/>
      <c r="F35" s="70"/>
      <c r="G35" s="70"/>
      <c r="H35" s="70"/>
      <c r="I35" s="70"/>
      <c r="J35" s="70"/>
      <c r="K35" s="70"/>
      <c r="L35" s="70"/>
      <c r="M35" s="70"/>
    </row>
    <row r="36" spans="1:18" ht="15.75" thickBot="1" x14ac:dyDescent="0.25">
      <c r="A36" s="96"/>
      <c r="B36" s="73"/>
      <c r="C36" s="73"/>
      <c r="D36" s="73"/>
      <c r="E36" s="73"/>
      <c r="F36" s="73"/>
      <c r="G36" s="73"/>
      <c r="H36" s="73"/>
      <c r="I36" s="73"/>
      <c r="J36" s="73"/>
      <c r="K36" s="73"/>
      <c r="L36" s="73"/>
      <c r="M36" s="73"/>
    </row>
    <row r="37" spans="1:18" s="206" customFormat="1" ht="18.75" customHeight="1" x14ac:dyDescent="0.25">
      <c r="A37" s="644" t="s">
        <v>168</v>
      </c>
      <c r="B37" s="645"/>
      <c r="C37" s="645"/>
      <c r="D37" s="645"/>
      <c r="E37" s="645"/>
      <c r="F37" s="182"/>
      <c r="G37" s="182"/>
      <c r="H37" s="183"/>
      <c r="I37" s="183"/>
      <c r="J37" s="183"/>
      <c r="K37" s="183"/>
      <c r="L37" s="183"/>
      <c r="M37" s="184"/>
    </row>
    <row r="38" spans="1:18" ht="10.5" customHeight="1" x14ac:dyDescent="0.2">
      <c r="A38" s="97"/>
      <c r="B38" s="98"/>
      <c r="C38" s="98"/>
      <c r="D38" s="98"/>
      <c r="E38" s="98"/>
      <c r="F38" s="99"/>
      <c r="G38" s="99"/>
      <c r="H38" s="70"/>
      <c r="I38" s="70"/>
      <c r="J38" s="70"/>
      <c r="K38" s="70"/>
      <c r="L38" s="70"/>
      <c r="M38" s="71"/>
      <c r="N38" s="106"/>
      <c r="O38" s="106"/>
      <c r="P38" s="106"/>
      <c r="Q38" s="106"/>
    </row>
    <row r="39" spans="1:18" ht="15.75" x14ac:dyDescent="0.25">
      <c r="A39" s="100" t="s">
        <v>177</v>
      </c>
      <c r="B39" s="16"/>
      <c r="C39" s="16"/>
      <c r="D39" s="98" t="s">
        <v>178</v>
      </c>
      <c r="E39" s="13"/>
      <c r="F39" s="13"/>
      <c r="G39" s="99"/>
      <c r="H39" s="87" t="s">
        <v>176</v>
      </c>
      <c r="I39" s="70"/>
      <c r="J39" s="70"/>
      <c r="K39" s="70"/>
      <c r="L39" s="70"/>
      <c r="M39" s="71"/>
      <c r="N39" s="106"/>
      <c r="O39" s="106"/>
      <c r="P39" s="106"/>
      <c r="Q39" s="106"/>
    </row>
    <row r="40" spans="1:18" ht="15" customHeight="1" x14ac:dyDescent="0.2">
      <c r="A40" s="638" t="s">
        <v>132</v>
      </c>
      <c r="B40" s="639"/>
      <c r="C40" s="640"/>
      <c r="D40" s="655" t="str">
        <f>VLOOKUP($A$40,'Mutual aid grades definitions'!$A:$E,2,FALSE)</f>
        <v xml:space="preserve"> </v>
      </c>
      <c r="E40" s="656"/>
      <c r="F40" s="656"/>
      <c r="G40" s="24"/>
      <c r="H40" s="657" t="str">
        <f>VLOOKUP($A$40,'Mutual aid grades definitions'!$A:$E,3,FALSE)</f>
        <v xml:space="preserve"> </v>
      </c>
      <c r="I40" s="657"/>
      <c r="J40" s="657"/>
      <c r="K40" s="657"/>
      <c r="L40" s="657"/>
      <c r="M40" s="658"/>
      <c r="N40" s="354"/>
      <c r="O40" s="37"/>
      <c r="P40" s="354"/>
      <c r="Q40" s="354"/>
    </row>
    <row r="41" spans="1:18" ht="15" customHeight="1" x14ac:dyDescent="0.2">
      <c r="A41" s="101"/>
      <c r="B41" s="102"/>
      <c r="C41" s="102"/>
      <c r="D41" s="102"/>
      <c r="E41" s="17"/>
      <c r="F41" s="17"/>
      <c r="G41" s="17"/>
      <c r="H41" s="21"/>
      <c r="I41" s="20"/>
      <c r="J41" s="20"/>
      <c r="K41" s="20"/>
      <c r="L41" s="20"/>
      <c r="M41" s="23"/>
      <c r="N41" s="106"/>
      <c r="O41" s="106"/>
      <c r="P41" s="106"/>
      <c r="Q41" s="106"/>
    </row>
    <row r="42" spans="1:18" s="207" customFormat="1" ht="15.75" x14ac:dyDescent="0.25">
      <c r="A42" s="137" t="s">
        <v>171</v>
      </c>
      <c r="B42" s="134"/>
      <c r="C42" s="134"/>
      <c r="D42" s="134"/>
      <c r="E42" s="134"/>
      <c r="F42" s="134"/>
      <c r="G42" s="134"/>
      <c r="H42" s="87" t="s">
        <v>170</v>
      </c>
      <c r="I42" s="135"/>
      <c r="J42" s="135"/>
      <c r="K42" s="135"/>
      <c r="L42" s="135"/>
      <c r="M42" s="136"/>
      <c r="N42" s="106"/>
      <c r="O42" s="106"/>
      <c r="P42" s="106"/>
      <c r="Q42" s="106"/>
      <c r="R42" s="85"/>
    </row>
    <row r="43" spans="1:18" ht="15" customHeight="1" x14ac:dyDescent="0.2">
      <c r="A43" s="646" t="str">
        <f>VLOOKUP($A$40,'Mutual aid grades definitions'!$A:$E,4,FALSE)</f>
        <v xml:space="preserve"> </v>
      </c>
      <c r="B43" s="647"/>
      <c r="C43" s="647"/>
      <c r="D43" s="647"/>
      <c r="E43" s="647"/>
      <c r="F43" s="648"/>
      <c r="G43" s="103"/>
      <c r="H43" s="659" t="str">
        <f>VLOOKUP($A$40,'Mutual aid grades definitions'!$A:$E,5,FALSE)</f>
        <v xml:space="preserve"> </v>
      </c>
      <c r="I43" s="647"/>
      <c r="J43" s="647"/>
      <c r="K43" s="647"/>
      <c r="L43" s="647"/>
      <c r="M43" s="660"/>
    </row>
    <row r="44" spans="1:18" x14ac:dyDescent="0.2">
      <c r="A44" s="649"/>
      <c r="B44" s="650"/>
      <c r="C44" s="650"/>
      <c r="D44" s="650"/>
      <c r="E44" s="650"/>
      <c r="F44" s="651"/>
      <c r="G44" s="70"/>
      <c r="H44" s="661"/>
      <c r="I44" s="650"/>
      <c r="J44" s="650"/>
      <c r="K44" s="650"/>
      <c r="L44" s="650"/>
      <c r="M44" s="662"/>
    </row>
    <row r="45" spans="1:18" x14ac:dyDescent="0.2">
      <c r="A45" s="652"/>
      <c r="B45" s="653"/>
      <c r="C45" s="653"/>
      <c r="D45" s="653"/>
      <c r="E45" s="653"/>
      <c r="F45" s="654"/>
      <c r="G45" s="86"/>
      <c r="H45" s="663"/>
      <c r="I45" s="653"/>
      <c r="J45" s="653"/>
      <c r="K45" s="653"/>
      <c r="L45" s="653"/>
      <c r="M45" s="664"/>
    </row>
    <row r="46" spans="1:18" ht="15.75" thickBot="1" x14ac:dyDescent="0.25">
      <c r="A46" s="26"/>
      <c r="B46" s="27"/>
      <c r="C46" s="27"/>
      <c r="D46" s="27"/>
      <c r="E46" s="27"/>
      <c r="F46" s="27"/>
      <c r="G46" s="104"/>
      <c r="H46" s="27"/>
      <c r="I46" s="27"/>
      <c r="J46" s="27"/>
      <c r="K46" s="27"/>
      <c r="L46" s="27"/>
      <c r="M46" s="28"/>
    </row>
    <row r="47" spans="1:18" x14ac:dyDescent="0.2">
      <c r="A47" s="175"/>
      <c r="B47" s="18"/>
      <c r="C47" s="18"/>
      <c r="D47" s="18"/>
      <c r="E47" s="18"/>
      <c r="F47" s="18"/>
      <c r="G47" s="105"/>
      <c r="H47" s="18"/>
      <c r="I47" s="18"/>
      <c r="J47" s="18"/>
      <c r="K47" s="18"/>
      <c r="L47" s="18"/>
      <c r="M47" s="18"/>
    </row>
    <row r="48" spans="1:18" s="75" customFormat="1" ht="15.75" thickBot="1" x14ac:dyDescent="0.25">
      <c r="A48" s="27"/>
      <c r="B48" s="18"/>
      <c r="C48" s="18"/>
      <c r="D48" s="18"/>
      <c r="E48" s="18"/>
      <c r="F48" s="18"/>
      <c r="G48" s="105"/>
      <c r="H48" s="18"/>
      <c r="I48" s="18"/>
      <c r="J48" s="18"/>
      <c r="K48" s="18"/>
      <c r="L48" s="18"/>
      <c r="M48" s="18"/>
      <c r="N48" s="106"/>
      <c r="O48" s="106"/>
      <c r="P48" s="106"/>
      <c r="Q48" s="106"/>
      <c r="R48" s="106"/>
    </row>
    <row r="49" spans="1:18" s="181" customFormat="1" ht="18" x14ac:dyDescent="0.25">
      <c r="A49" s="644" t="s">
        <v>180</v>
      </c>
      <c r="B49" s="645"/>
      <c r="C49" s="645"/>
      <c r="D49" s="645"/>
      <c r="E49" s="645"/>
      <c r="F49" s="182"/>
      <c r="G49" s="182"/>
      <c r="H49" s="180"/>
      <c r="I49" s="180"/>
      <c r="J49" s="180"/>
      <c r="K49" s="180"/>
      <c r="L49" s="180"/>
      <c r="M49" s="186"/>
    </row>
    <row r="50" spans="1:18" ht="15.75" customHeight="1" x14ac:dyDescent="0.2">
      <c r="A50" s="696" t="s">
        <v>181</v>
      </c>
      <c r="B50" s="697"/>
      <c r="C50" s="697"/>
      <c r="D50" s="698"/>
      <c r="E50" s="19"/>
      <c r="F50" s="70"/>
      <c r="G50" s="633" t="str">
        <f>VLOOKUP(A50,'Mutual aid grades definitions'!A15:B17,2,FALSE)</f>
        <v xml:space="preserve"> </v>
      </c>
      <c r="H50" s="634"/>
      <c r="I50" s="634"/>
      <c r="J50" s="634"/>
      <c r="K50" s="634"/>
      <c r="L50" s="634"/>
      <c r="M50" s="635"/>
    </row>
    <row r="51" spans="1:18" ht="6.75" customHeight="1" x14ac:dyDescent="0.2">
      <c r="A51" s="22"/>
      <c r="B51" s="14"/>
      <c r="C51" s="15"/>
      <c r="D51" s="15"/>
      <c r="E51" s="15"/>
      <c r="F51" s="107"/>
      <c r="G51" s="108"/>
      <c r="H51" s="29"/>
      <c r="I51" s="30"/>
      <c r="J51" s="31"/>
      <c r="K51" s="31"/>
      <c r="L51" s="31"/>
      <c r="M51" s="33"/>
    </row>
    <row r="52" spans="1:18" ht="15.75" customHeight="1" x14ac:dyDescent="0.2">
      <c r="A52" s="696" t="s">
        <v>135</v>
      </c>
      <c r="B52" s="697"/>
      <c r="C52" s="697"/>
      <c r="D52" s="698"/>
      <c r="E52" s="19"/>
      <c r="F52" s="70"/>
      <c r="G52" s="633" t="str">
        <f>VLOOKUP(A$52,'Mutual aid grades definitions'!$A$15:$B$21,2,FALSE)</f>
        <v xml:space="preserve"> </v>
      </c>
      <c r="H52" s="634"/>
      <c r="I52" s="634"/>
      <c r="J52" s="634"/>
      <c r="K52" s="634"/>
      <c r="L52" s="634"/>
      <c r="M52" s="635"/>
    </row>
    <row r="53" spans="1:18" ht="28.5" customHeight="1" x14ac:dyDescent="0.2">
      <c r="A53" s="109"/>
      <c r="B53" s="110"/>
      <c r="C53" s="110"/>
      <c r="D53" s="110"/>
      <c r="E53" s="75"/>
      <c r="F53" s="75"/>
      <c r="G53" s="699" t="str">
        <f>VLOOKUP(A$52,'Mutual aid grades definitions'!$A$15:$C$21,3,FALSE)</f>
        <v xml:space="preserve"> </v>
      </c>
      <c r="H53" s="699"/>
      <c r="I53" s="699"/>
      <c r="J53" s="699"/>
      <c r="K53" s="699"/>
      <c r="L53" s="699"/>
      <c r="M53" s="700"/>
    </row>
    <row r="54" spans="1:18" ht="6.75" customHeight="1" thickBot="1" x14ac:dyDescent="0.25">
      <c r="A54" s="111"/>
      <c r="B54" s="79"/>
      <c r="C54" s="79"/>
      <c r="D54" s="79"/>
      <c r="E54" s="79"/>
      <c r="F54" s="79"/>
      <c r="G54" s="79"/>
      <c r="H54" s="79"/>
      <c r="I54" s="79"/>
      <c r="J54" s="79"/>
      <c r="K54" s="79"/>
      <c r="L54" s="79"/>
      <c r="M54" s="83"/>
    </row>
    <row r="55" spans="1:18" x14ac:dyDescent="0.2">
      <c r="A55" s="99"/>
      <c r="B55" s="70"/>
      <c r="C55" s="70"/>
      <c r="D55" s="70"/>
      <c r="E55" s="70"/>
      <c r="F55" s="70"/>
      <c r="G55" s="70"/>
      <c r="H55" s="70"/>
      <c r="I55" s="70"/>
      <c r="J55" s="70"/>
      <c r="K55" s="70"/>
      <c r="L55" s="70"/>
      <c r="M55" s="70"/>
    </row>
    <row r="56" spans="1:18" ht="15.75" thickBot="1" x14ac:dyDescent="0.25">
      <c r="A56" s="99"/>
      <c r="B56" s="70"/>
      <c r="C56" s="70"/>
      <c r="D56" s="70"/>
      <c r="E56" s="70"/>
      <c r="F56" s="70"/>
      <c r="G56" s="70"/>
      <c r="H56" s="70"/>
      <c r="I56" s="75"/>
      <c r="J56" s="70"/>
      <c r="K56" s="70"/>
      <c r="L56" s="70"/>
      <c r="M56" s="70"/>
    </row>
    <row r="57" spans="1:18" s="181" customFormat="1" ht="11.25" customHeight="1" x14ac:dyDescent="0.25">
      <c r="A57" s="702" t="s">
        <v>263</v>
      </c>
      <c r="B57" s="709"/>
      <c r="C57" s="709"/>
      <c r="D57" s="712" t="s">
        <v>395</v>
      </c>
      <c r="E57" s="713"/>
      <c r="F57" s="713"/>
      <c r="G57" s="713"/>
      <c r="H57" s="714"/>
      <c r="I57" s="187"/>
      <c r="J57" s="688" t="s">
        <v>264</v>
      </c>
      <c r="K57" s="689"/>
      <c r="L57" s="690"/>
      <c r="M57" s="691"/>
    </row>
    <row r="58" spans="1:18" s="181" customFormat="1" ht="15.6" customHeight="1" thickBot="1" x14ac:dyDescent="0.3">
      <c r="A58" s="710"/>
      <c r="B58" s="711"/>
      <c r="C58" s="711"/>
      <c r="D58" s="715"/>
      <c r="E58" s="715"/>
      <c r="F58" s="715"/>
      <c r="G58" s="715"/>
      <c r="H58" s="716"/>
      <c r="I58" s="187"/>
      <c r="J58" s="692"/>
      <c r="K58" s="693"/>
      <c r="L58" s="694"/>
      <c r="M58" s="695"/>
    </row>
    <row r="59" spans="1:18" s="119" customFormat="1" ht="44.25" customHeight="1" thickBot="1" x14ac:dyDescent="0.25">
      <c r="A59" s="116" t="s">
        <v>0</v>
      </c>
      <c r="B59" s="116" t="s">
        <v>1</v>
      </c>
      <c r="C59" s="116" t="s">
        <v>189</v>
      </c>
      <c r="D59" s="118" t="s">
        <v>3</v>
      </c>
      <c r="E59" s="118" t="s">
        <v>385</v>
      </c>
      <c r="F59" s="116" t="s">
        <v>2</v>
      </c>
      <c r="G59" s="116" t="s">
        <v>324</v>
      </c>
      <c r="H59" s="118" t="s">
        <v>4</v>
      </c>
      <c r="I59" s="123"/>
      <c r="J59" s="116" t="s">
        <v>192</v>
      </c>
      <c r="K59" s="124" t="s">
        <v>382</v>
      </c>
      <c r="L59" s="124" t="s">
        <v>265</v>
      </c>
      <c r="M59" s="125" t="s">
        <v>193</v>
      </c>
      <c r="N59" s="85"/>
      <c r="O59" s="127"/>
      <c r="P59" s="127"/>
      <c r="Q59" s="127"/>
      <c r="R59" s="127"/>
    </row>
    <row r="60" spans="1:18" ht="15.75" x14ac:dyDescent="0.2">
      <c r="A60" s="288"/>
      <c r="B60" s="289"/>
      <c r="C60" s="348" t="s">
        <v>191</v>
      </c>
      <c r="D60" s="344"/>
      <c r="E60" s="430" t="s">
        <v>132</v>
      </c>
      <c r="F60" s="276"/>
      <c r="G60" s="382"/>
      <c r="H60" s="277"/>
      <c r="I60" s="40"/>
      <c r="J60" s="360" t="str">
        <f>IF(F60="","",VLOOKUP(O60,Rates!B:D,3,FALSE))</f>
        <v/>
      </c>
      <c r="K60" s="406" t="str">
        <f>J60</f>
        <v/>
      </c>
      <c r="L60" s="350">
        <f>F60*G60*H60</f>
        <v>0</v>
      </c>
      <c r="M60" s="362" t="str">
        <f>IF(F60="","",IF(K60=J60,(J60*L60),(K60*L60)))</f>
        <v/>
      </c>
      <c r="O60" s="85" t="str">
        <f>CONCATENATE(E60&amp;C60)</f>
        <v>Choose Mutual Aid GradePlease Choose</v>
      </c>
    </row>
    <row r="61" spans="1:18" ht="15.75" x14ac:dyDescent="0.2">
      <c r="A61" s="288"/>
      <c r="B61" s="289"/>
      <c r="C61" s="348" t="s">
        <v>191</v>
      </c>
      <c r="D61" s="345"/>
      <c r="E61" s="414" t="s">
        <v>132</v>
      </c>
      <c r="F61" s="276"/>
      <c r="G61" s="382"/>
      <c r="H61" s="277"/>
      <c r="I61" s="41"/>
      <c r="J61" s="360" t="str">
        <f>IF(F61="","",VLOOKUP(O61,Rates!B:D,3,FALSE))</f>
        <v/>
      </c>
      <c r="K61" s="406" t="str">
        <f>J61</f>
        <v/>
      </c>
      <c r="L61" s="350">
        <f t="shared" ref="L61:L87" si="0">F61*G61*H61</f>
        <v>0</v>
      </c>
      <c r="M61" s="362" t="str">
        <f t="shared" ref="M61:M87" si="1">IF(F61="","",IF(K61=J61,(J61*L61),(K61*L61)))</f>
        <v/>
      </c>
      <c r="O61" s="85" t="str">
        <f t="shared" ref="O61:O87" si="2">CONCATENATE(E61&amp;C61)</f>
        <v>Choose Mutual Aid GradePlease Choose</v>
      </c>
    </row>
    <row r="62" spans="1:18" ht="15.75" x14ac:dyDescent="0.2">
      <c r="A62" s="288"/>
      <c r="B62" s="289"/>
      <c r="C62" s="348" t="s">
        <v>191</v>
      </c>
      <c r="D62" s="343"/>
      <c r="E62" s="414" t="s">
        <v>132</v>
      </c>
      <c r="F62" s="276"/>
      <c r="G62" s="382"/>
      <c r="H62" s="277"/>
      <c r="I62" s="41"/>
      <c r="J62" s="360" t="str">
        <f>IF(F62="","",VLOOKUP(O62,Rates!B:D,3,FALSE))</f>
        <v/>
      </c>
      <c r="K62" s="406" t="str">
        <f t="shared" ref="K62:K87" si="3">J62</f>
        <v/>
      </c>
      <c r="L62" s="350">
        <f t="shared" si="0"/>
        <v>0</v>
      </c>
      <c r="M62" s="362" t="str">
        <f t="shared" si="1"/>
        <v/>
      </c>
      <c r="O62" s="85" t="str">
        <f t="shared" si="2"/>
        <v>Choose Mutual Aid GradePlease Choose</v>
      </c>
    </row>
    <row r="63" spans="1:18" ht="15.75" x14ac:dyDescent="0.2">
      <c r="A63" s="288"/>
      <c r="B63" s="289"/>
      <c r="C63" s="348" t="s">
        <v>191</v>
      </c>
      <c r="D63" s="343"/>
      <c r="E63" s="414" t="s">
        <v>132</v>
      </c>
      <c r="F63" s="276"/>
      <c r="G63" s="382"/>
      <c r="H63" s="277"/>
      <c r="I63" s="41"/>
      <c r="J63" s="360" t="str">
        <f>IF(F63="","",VLOOKUP(O63,Rates!B:D,3,FALSE))</f>
        <v/>
      </c>
      <c r="K63" s="406" t="str">
        <f t="shared" si="3"/>
        <v/>
      </c>
      <c r="L63" s="350">
        <f t="shared" si="0"/>
        <v>0</v>
      </c>
      <c r="M63" s="362" t="str">
        <f t="shared" si="1"/>
        <v/>
      </c>
      <c r="O63" s="85" t="str">
        <f t="shared" si="2"/>
        <v>Choose Mutual Aid GradePlease Choose</v>
      </c>
    </row>
    <row r="64" spans="1:18" ht="15.75" x14ac:dyDescent="0.2">
      <c r="A64" s="288"/>
      <c r="B64" s="289"/>
      <c r="C64" s="348" t="s">
        <v>191</v>
      </c>
      <c r="D64" s="343"/>
      <c r="E64" s="414" t="s">
        <v>132</v>
      </c>
      <c r="F64" s="276"/>
      <c r="G64" s="382"/>
      <c r="H64" s="277"/>
      <c r="I64" s="41"/>
      <c r="J64" s="360" t="str">
        <f>IF(F64="","",VLOOKUP(O64,Rates!B:D,3,FALSE))</f>
        <v/>
      </c>
      <c r="K64" s="406" t="str">
        <f t="shared" si="3"/>
        <v/>
      </c>
      <c r="L64" s="350">
        <f t="shared" si="0"/>
        <v>0</v>
      </c>
      <c r="M64" s="362" t="str">
        <f t="shared" si="1"/>
        <v/>
      </c>
      <c r="O64" s="85" t="str">
        <f t="shared" si="2"/>
        <v>Choose Mutual Aid GradePlease Choose</v>
      </c>
    </row>
    <row r="65" spans="1:15" ht="15.75" x14ac:dyDescent="0.2">
      <c r="A65" s="288"/>
      <c r="B65" s="289"/>
      <c r="C65" s="348" t="s">
        <v>191</v>
      </c>
      <c r="D65" s="343"/>
      <c r="E65" s="414" t="s">
        <v>132</v>
      </c>
      <c r="F65" s="276"/>
      <c r="G65" s="382"/>
      <c r="H65" s="277"/>
      <c r="I65" s="41"/>
      <c r="J65" s="360" t="str">
        <f>IF(F65="","",VLOOKUP(O65,Rates!B:D,3,FALSE))</f>
        <v/>
      </c>
      <c r="K65" s="406" t="str">
        <f t="shared" si="3"/>
        <v/>
      </c>
      <c r="L65" s="350">
        <f t="shared" si="0"/>
        <v>0</v>
      </c>
      <c r="M65" s="362" t="str">
        <f t="shared" si="1"/>
        <v/>
      </c>
      <c r="O65" s="85" t="str">
        <f t="shared" si="2"/>
        <v>Choose Mutual Aid GradePlease Choose</v>
      </c>
    </row>
    <row r="66" spans="1:15" ht="15.75" x14ac:dyDescent="0.2">
      <c r="A66" s="288"/>
      <c r="B66" s="289"/>
      <c r="C66" s="348" t="s">
        <v>191</v>
      </c>
      <c r="D66" s="343"/>
      <c r="E66" s="414" t="s">
        <v>132</v>
      </c>
      <c r="F66" s="276"/>
      <c r="G66" s="382"/>
      <c r="H66" s="277"/>
      <c r="I66" s="41"/>
      <c r="J66" s="360" t="str">
        <f>IF(F66="","",VLOOKUP(O66,Rates!B:D,3,FALSE))</f>
        <v/>
      </c>
      <c r="K66" s="406" t="str">
        <f t="shared" si="3"/>
        <v/>
      </c>
      <c r="L66" s="350">
        <f t="shared" si="0"/>
        <v>0</v>
      </c>
      <c r="M66" s="362" t="str">
        <f t="shared" si="1"/>
        <v/>
      </c>
      <c r="O66" s="85" t="str">
        <f t="shared" si="2"/>
        <v>Choose Mutual Aid GradePlease Choose</v>
      </c>
    </row>
    <row r="67" spans="1:15" ht="15.75" x14ac:dyDescent="0.2">
      <c r="A67" s="288"/>
      <c r="B67" s="289"/>
      <c r="C67" s="348" t="s">
        <v>191</v>
      </c>
      <c r="D67" s="343"/>
      <c r="E67" s="414" t="s">
        <v>132</v>
      </c>
      <c r="F67" s="276"/>
      <c r="G67" s="382"/>
      <c r="H67" s="277"/>
      <c r="I67" s="41"/>
      <c r="J67" s="360" t="str">
        <f>IF(F67="","",VLOOKUP(O67,Rates!B:D,3,FALSE))</f>
        <v/>
      </c>
      <c r="K67" s="406" t="str">
        <f t="shared" si="3"/>
        <v/>
      </c>
      <c r="L67" s="350">
        <f t="shared" si="0"/>
        <v>0</v>
      </c>
      <c r="M67" s="362" t="str">
        <f t="shared" si="1"/>
        <v/>
      </c>
      <c r="O67" s="85" t="str">
        <f t="shared" si="2"/>
        <v>Choose Mutual Aid GradePlease Choose</v>
      </c>
    </row>
    <row r="68" spans="1:15" ht="15.75" x14ac:dyDescent="0.2">
      <c r="A68" s="288"/>
      <c r="B68" s="289"/>
      <c r="C68" s="348" t="s">
        <v>191</v>
      </c>
      <c r="D68" s="343"/>
      <c r="E68" s="414" t="s">
        <v>132</v>
      </c>
      <c r="F68" s="276"/>
      <c r="G68" s="382"/>
      <c r="H68" s="277"/>
      <c r="I68" s="41"/>
      <c r="J68" s="360" t="str">
        <f>IF(F68="","",VLOOKUP(O68,Rates!B:D,3,FALSE))</f>
        <v/>
      </c>
      <c r="K68" s="406" t="str">
        <f t="shared" si="3"/>
        <v/>
      </c>
      <c r="L68" s="350">
        <f t="shared" si="0"/>
        <v>0</v>
      </c>
      <c r="M68" s="362" t="str">
        <f t="shared" si="1"/>
        <v/>
      </c>
      <c r="O68" s="85" t="str">
        <f t="shared" si="2"/>
        <v>Choose Mutual Aid GradePlease Choose</v>
      </c>
    </row>
    <row r="69" spans="1:15" ht="15.75" x14ac:dyDescent="0.2">
      <c r="A69" s="288"/>
      <c r="B69" s="289"/>
      <c r="C69" s="348" t="s">
        <v>191</v>
      </c>
      <c r="D69" s="343"/>
      <c r="E69" s="414" t="s">
        <v>132</v>
      </c>
      <c r="F69" s="276"/>
      <c r="G69" s="382"/>
      <c r="H69" s="277"/>
      <c r="I69" s="41"/>
      <c r="J69" s="360" t="str">
        <f>IF(F69="","",VLOOKUP(O69,Rates!B:D,3,FALSE))</f>
        <v/>
      </c>
      <c r="K69" s="406" t="str">
        <f t="shared" si="3"/>
        <v/>
      </c>
      <c r="L69" s="350">
        <f t="shared" si="0"/>
        <v>0</v>
      </c>
      <c r="M69" s="362" t="str">
        <f t="shared" si="1"/>
        <v/>
      </c>
      <c r="O69" s="85" t="str">
        <f t="shared" si="2"/>
        <v>Choose Mutual Aid GradePlease Choose</v>
      </c>
    </row>
    <row r="70" spans="1:15" ht="15.75" x14ac:dyDescent="0.2">
      <c r="A70" s="288"/>
      <c r="B70" s="289"/>
      <c r="C70" s="348" t="s">
        <v>191</v>
      </c>
      <c r="D70" s="343"/>
      <c r="E70" s="414" t="s">
        <v>132</v>
      </c>
      <c r="F70" s="276"/>
      <c r="G70" s="382"/>
      <c r="H70" s="277"/>
      <c r="I70" s="41"/>
      <c r="J70" s="360" t="str">
        <f>IF(F70="","",VLOOKUP(O70,Rates!B:D,3,FALSE))</f>
        <v/>
      </c>
      <c r="K70" s="406" t="str">
        <f t="shared" si="3"/>
        <v/>
      </c>
      <c r="L70" s="350">
        <f t="shared" si="0"/>
        <v>0</v>
      </c>
      <c r="M70" s="362" t="str">
        <f t="shared" si="1"/>
        <v/>
      </c>
      <c r="O70" s="85" t="str">
        <f t="shared" si="2"/>
        <v>Choose Mutual Aid GradePlease Choose</v>
      </c>
    </row>
    <row r="71" spans="1:15" ht="15.75" x14ac:dyDescent="0.2">
      <c r="A71" s="288"/>
      <c r="B71" s="289"/>
      <c r="C71" s="348" t="s">
        <v>191</v>
      </c>
      <c r="D71" s="343"/>
      <c r="E71" s="414" t="s">
        <v>132</v>
      </c>
      <c r="F71" s="276"/>
      <c r="G71" s="382"/>
      <c r="H71" s="277"/>
      <c r="I71" s="41"/>
      <c r="J71" s="360" t="str">
        <f>IF(F71="","",VLOOKUP(O71,Rates!B:D,3,FALSE))</f>
        <v/>
      </c>
      <c r="K71" s="406" t="str">
        <f t="shared" si="3"/>
        <v/>
      </c>
      <c r="L71" s="350">
        <f t="shared" si="0"/>
        <v>0</v>
      </c>
      <c r="M71" s="362" t="str">
        <f t="shared" si="1"/>
        <v/>
      </c>
      <c r="O71" s="85" t="str">
        <f t="shared" si="2"/>
        <v>Choose Mutual Aid GradePlease Choose</v>
      </c>
    </row>
    <row r="72" spans="1:15" ht="15.75" x14ac:dyDescent="0.2">
      <c r="A72" s="288"/>
      <c r="B72" s="289"/>
      <c r="C72" s="348" t="s">
        <v>191</v>
      </c>
      <c r="D72" s="343"/>
      <c r="E72" s="414" t="s">
        <v>132</v>
      </c>
      <c r="F72" s="276"/>
      <c r="G72" s="382"/>
      <c r="H72" s="277"/>
      <c r="I72" s="41"/>
      <c r="J72" s="360" t="str">
        <f>IF(F72="","",VLOOKUP(O72,Rates!B:D,3,FALSE))</f>
        <v/>
      </c>
      <c r="K72" s="406" t="str">
        <f t="shared" si="3"/>
        <v/>
      </c>
      <c r="L72" s="350">
        <f t="shared" si="0"/>
        <v>0</v>
      </c>
      <c r="M72" s="362" t="str">
        <f t="shared" si="1"/>
        <v/>
      </c>
      <c r="O72" s="85" t="str">
        <f t="shared" si="2"/>
        <v>Choose Mutual Aid GradePlease Choose</v>
      </c>
    </row>
    <row r="73" spans="1:15" ht="15.75" x14ac:dyDescent="0.2">
      <c r="A73" s="288"/>
      <c r="B73" s="289"/>
      <c r="C73" s="348" t="s">
        <v>191</v>
      </c>
      <c r="D73" s="343"/>
      <c r="E73" s="414" t="s">
        <v>132</v>
      </c>
      <c r="F73" s="276"/>
      <c r="G73" s="382"/>
      <c r="H73" s="277"/>
      <c r="I73" s="41"/>
      <c r="J73" s="360" t="str">
        <f>IF(F73="","",VLOOKUP(O73,Rates!B:D,3,FALSE))</f>
        <v/>
      </c>
      <c r="K73" s="406" t="str">
        <f t="shared" si="3"/>
        <v/>
      </c>
      <c r="L73" s="350">
        <f t="shared" si="0"/>
        <v>0</v>
      </c>
      <c r="M73" s="362" t="str">
        <f t="shared" si="1"/>
        <v/>
      </c>
      <c r="O73" s="85" t="str">
        <f t="shared" si="2"/>
        <v>Choose Mutual Aid GradePlease Choose</v>
      </c>
    </row>
    <row r="74" spans="1:15" ht="15.75" x14ac:dyDescent="0.2">
      <c r="A74" s="288"/>
      <c r="B74" s="289"/>
      <c r="C74" s="348" t="s">
        <v>191</v>
      </c>
      <c r="D74" s="343"/>
      <c r="E74" s="414" t="s">
        <v>132</v>
      </c>
      <c r="F74" s="276"/>
      <c r="G74" s="382"/>
      <c r="H74" s="277"/>
      <c r="I74" s="41"/>
      <c r="J74" s="360" t="str">
        <f>IF(F74="","",VLOOKUP(O74,Rates!B:D,3,FALSE))</f>
        <v/>
      </c>
      <c r="K74" s="406" t="str">
        <f t="shared" si="3"/>
        <v/>
      </c>
      <c r="L74" s="350">
        <f t="shared" si="0"/>
        <v>0</v>
      </c>
      <c r="M74" s="362" t="str">
        <f t="shared" si="1"/>
        <v/>
      </c>
      <c r="O74" s="85" t="str">
        <f t="shared" si="2"/>
        <v>Choose Mutual Aid GradePlease Choose</v>
      </c>
    </row>
    <row r="75" spans="1:15" ht="15.75" x14ac:dyDescent="0.2">
      <c r="A75" s="288"/>
      <c r="B75" s="289"/>
      <c r="C75" s="348" t="s">
        <v>191</v>
      </c>
      <c r="D75" s="343"/>
      <c r="E75" s="414" t="s">
        <v>132</v>
      </c>
      <c r="F75" s="276"/>
      <c r="G75" s="382"/>
      <c r="H75" s="277"/>
      <c r="I75" s="41"/>
      <c r="J75" s="360" t="str">
        <f>IF(F75="","",VLOOKUP(O75,Rates!B:D,3,FALSE))</f>
        <v/>
      </c>
      <c r="K75" s="406" t="str">
        <f t="shared" si="3"/>
        <v/>
      </c>
      <c r="L75" s="350">
        <f t="shared" si="0"/>
        <v>0</v>
      </c>
      <c r="M75" s="362" t="str">
        <f t="shared" si="1"/>
        <v/>
      </c>
      <c r="O75" s="85" t="str">
        <f t="shared" si="2"/>
        <v>Choose Mutual Aid GradePlease Choose</v>
      </c>
    </row>
    <row r="76" spans="1:15" ht="15.75" x14ac:dyDescent="0.2">
      <c r="A76" s="288"/>
      <c r="B76" s="289"/>
      <c r="C76" s="348" t="s">
        <v>191</v>
      </c>
      <c r="D76" s="343"/>
      <c r="E76" s="414" t="s">
        <v>132</v>
      </c>
      <c r="F76" s="276"/>
      <c r="G76" s="382"/>
      <c r="H76" s="277"/>
      <c r="I76" s="41"/>
      <c r="J76" s="360" t="str">
        <f>IF(F76="","",VLOOKUP(O76,Rates!B:D,3,FALSE))</f>
        <v/>
      </c>
      <c r="K76" s="406" t="str">
        <f t="shared" si="3"/>
        <v/>
      </c>
      <c r="L76" s="350">
        <f t="shared" si="0"/>
        <v>0</v>
      </c>
      <c r="M76" s="362" t="str">
        <f t="shared" si="1"/>
        <v/>
      </c>
      <c r="O76" s="85" t="str">
        <f t="shared" si="2"/>
        <v>Choose Mutual Aid GradePlease Choose</v>
      </c>
    </row>
    <row r="77" spans="1:15" ht="15.75" x14ac:dyDescent="0.2">
      <c r="A77" s="288"/>
      <c r="B77" s="289"/>
      <c r="C77" s="348" t="s">
        <v>191</v>
      </c>
      <c r="D77" s="343"/>
      <c r="E77" s="414" t="s">
        <v>132</v>
      </c>
      <c r="F77" s="276"/>
      <c r="G77" s="382"/>
      <c r="H77" s="277"/>
      <c r="I77" s="41"/>
      <c r="J77" s="360" t="str">
        <f>IF(F77="","",VLOOKUP(O77,Rates!B:D,3,FALSE))</f>
        <v/>
      </c>
      <c r="K77" s="406" t="str">
        <f t="shared" si="3"/>
        <v/>
      </c>
      <c r="L77" s="350">
        <f t="shared" si="0"/>
        <v>0</v>
      </c>
      <c r="M77" s="362" t="str">
        <f t="shared" si="1"/>
        <v/>
      </c>
      <c r="O77" s="85" t="str">
        <f t="shared" si="2"/>
        <v>Choose Mutual Aid GradePlease Choose</v>
      </c>
    </row>
    <row r="78" spans="1:15" ht="15.75" x14ac:dyDescent="0.2">
      <c r="A78" s="288"/>
      <c r="B78" s="289"/>
      <c r="C78" s="348" t="s">
        <v>191</v>
      </c>
      <c r="D78" s="343"/>
      <c r="E78" s="414" t="s">
        <v>132</v>
      </c>
      <c r="F78" s="276"/>
      <c r="G78" s="382"/>
      <c r="H78" s="277"/>
      <c r="I78" s="41"/>
      <c r="J78" s="360" t="str">
        <f>IF(F78="","",VLOOKUP(O78,Rates!B:D,3,FALSE))</f>
        <v/>
      </c>
      <c r="K78" s="406" t="str">
        <f t="shared" si="3"/>
        <v/>
      </c>
      <c r="L78" s="350">
        <f t="shared" si="0"/>
        <v>0</v>
      </c>
      <c r="M78" s="362" t="str">
        <f t="shared" si="1"/>
        <v/>
      </c>
      <c r="O78" s="85" t="str">
        <f t="shared" si="2"/>
        <v>Choose Mutual Aid GradePlease Choose</v>
      </c>
    </row>
    <row r="79" spans="1:15" ht="15.75" x14ac:dyDescent="0.2">
      <c r="A79" s="288"/>
      <c r="B79" s="289"/>
      <c r="C79" s="348" t="s">
        <v>191</v>
      </c>
      <c r="D79" s="343"/>
      <c r="E79" s="414" t="s">
        <v>132</v>
      </c>
      <c r="F79" s="276"/>
      <c r="G79" s="382"/>
      <c r="H79" s="277"/>
      <c r="I79" s="41"/>
      <c r="J79" s="360" t="str">
        <f>IF(F79="","",VLOOKUP(O79,Rates!B:D,3,FALSE))</f>
        <v/>
      </c>
      <c r="K79" s="406" t="str">
        <f t="shared" si="3"/>
        <v/>
      </c>
      <c r="L79" s="350">
        <f t="shared" si="0"/>
        <v>0</v>
      </c>
      <c r="M79" s="362" t="str">
        <f t="shared" si="1"/>
        <v/>
      </c>
      <c r="O79" s="85" t="str">
        <f t="shared" si="2"/>
        <v>Choose Mutual Aid GradePlease Choose</v>
      </c>
    </row>
    <row r="80" spans="1:15" ht="15.75" x14ac:dyDescent="0.2">
      <c r="A80" s="288"/>
      <c r="B80" s="289"/>
      <c r="C80" s="348" t="s">
        <v>191</v>
      </c>
      <c r="D80" s="343"/>
      <c r="E80" s="414" t="s">
        <v>132</v>
      </c>
      <c r="F80" s="276"/>
      <c r="G80" s="382"/>
      <c r="H80" s="277"/>
      <c r="I80" s="41"/>
      <c r="J80" s="360" t="str">
        <f>IF(F80="","",VLOOKUP(O80,Rates!B:D,3,FALSE))</f>
        <v/>
      </c>
      <c r="K80" s="406" t="str">
        <f t="shared" si="3"/>
        <v/>
      </c>
      <c r="L80" s="350">
        <f t="shared" si="0"/>
        <v>0</v>
      </c>
      <c r="M80" s="362" t="str">
        <f t="shared" si="1"/>
        <v/>
      </c>
      <c r="O80" s="85" t="str">
        <f t="shared" si="2"/>
        <v>Choose Mutual Aid GradePlease Choose</v>
      </c>
    </row>
    <row r="81" spans="1:18" ht="15.75" x14ac:dyDescent="0.2">
      <c r="A81" s="288"/>
      <c r="B81" s="289"/>
      <c r="C81" s="348" t="s">
        <v>191</v>
      </c>
      <c r="D81" s="343"/>
      <c r="E81" s="414" t="s">
        <v>132</v>
      </c>
      <c r="F81" s="276"/>
      <c r="G81" s="382"/>
      <c r="H81" s="277"/>
      <c r="I81" s="41"/>
      <c r="J81" s="360" t="str">
        <f>IF(F81="","",VLOOKUP(O81,Rates!B:D,3,FALSE))</f>
        <v/>
      </c>
      <c r="K81" s="406" t="str">
        <f t="shared" si="3"/>
        <v/>
      </c>
      <c r="L81" s="350">
        <f t="shared" si="0"/>
        <v>0</v>
      </c>
      <c r="M81" s="362" t="str">
        <f t="shared" si="1"/>
        <v/>
      </c>
      <c r="O81" s="85" t="str">
        <f t="shared" si="2"/>
        <v>Choose Mutual Aid GradePlease Choose</v>
      </c>
    </row>
    <row r="82" spans="1:18" ht="15.75" x14ac:dyDescent="0.2">
      <c r="A82" s="288"/>
      <c r="B82" s="289"/>
      <c r="C82" s="348" t="s">
        <v>191</v>
      </c>
      <c r="D82" s="343"/>
      <c r="E82" s="414" t="s">
        <v>132</v>
      </c>
      <c r="F82" s="276"/>
      <c r="G82" s="382"/>
      <c r="H82" s="277"/>
      <c r="I82" s="41"/>
      <c r="J82" s="360" t="str">
        <f>IF(F82="","",VLOOKUP(O82,Rates!B:D,3,FALSE))</f>
        <v/>
      </c>
      <c r="K82" s="406" t="str">
        <f t="shared" si="3"/>
        <v/>
      </c>
      <c r="L82" s="350">
        <f t="shared" si="0"/>
        <v>0</v>
      </c>
      <c r="M82" s="362" t="str">
        <f t="shared" si="1"/>
        <v/>
      </c>
      <c r="O82" s="85" t="str">
        <f t="shared" si="2"/>
        <v>Choose Mutual Aid GradePlease Choose</v>
      </c>
    </row>
    <row r="83" spans="1:18" ht="15.75" x14ac:dyDescent="0.2">
      <c r="A83" s="288"/>
      <c r="B83" s="289"/>
      <c r="C83" s="348" t="s">
        <v>191</v>
      </c>
      <c r="D83" s="343"/>
      <c r="E83" s="414" t="s">
        <v>132</v>
      </c>
      <c r="F83" s="276"/>
      <c r="G83" s="382"/>
      <c r="H83" s="277"/>
      <c r="I83" s="41"/>
      <c r="J83" s="360" t="str">
        <f>IF(F83="","",VLOOKUP(O83,Rates!B:D,3,FALSE))</f>
        <v/>
      </c>
      <c r="K83" s="406" t="str">
        <f t="shared" si="3"/>
        <v/>
      </c>
      <c r="L83" s="350">
        <f t="shared" si="0"/>
        <v>0</v>
      </c>
      <c r="M83" s="362" t="str">
        <f t="shared" si="1"/>
        <v/>
      </c>
      <c r="O83" s="85" t="str">
        <f t="shared" si="2"/>
        <v>Choose Mutual Aid GradePlease Choose</v>
      </c>
    </row>
    <row r="84" spans="1:18" ht="15.75" x14ac:dyDescent="0.2">
      <c r="A84" s="288"/>
      <c r="B84" s="289"/>
      <c r="C84" s="348" t="s">
        <v>191</v>
      </c>
      <c r="D84" s="343"/>
      <c r="E84" s="414" t="s">
        <v>132</v>
      </c>
      <c r="F84" s="276"/>
      <c r="G84" s="382"/>
      <c r="H84" s="277"/>
      <c r="I84" s="41"/>
      <c r="J84" s="360" t="str">
        <f>IF(F84="","",VLOOKUP(O84,Rates!B:D,3,FALSE))</f>
        <v/>
      </c>
      <c r="K84" s="406" t="str">
        <f t="shared" si="3"/>
        <v/>
      </c>
      <c r="L84" s="350">
        <f t="shared" si="0"/>
        <v>0</v>
      </c>
      <c r="M84" s="362" t="str">
        <f t="shared" si="1"/>
        <v/>
      </c>
      <c r="O84" s="85" t="str">
        <f t="shared" si="2"/>
        <v>Choose Mutual Aid GradePlease Choose</v>
      </c>
    </row>
    <row r="85" spans="1:18" ht="15.75" x14ac:dyDescent="0.2">
      <c r="A85" s="288"/>
      <c r="B85" s="289"/>
      <c r="C85" s="348" t="s">
        <v>191</v>
      </c>
      <c r="D85" s="343"/>
      <c r="E85" s="414" t="s">
        <v>132</v>
      </c>
      <c r="F85" s="276"/>
      <c r="G85" s="382"/>
      <c r="H85" s="277"/>
      <c r="I85" s="41"/>
      <c r="J85" s="360" t="str">
        <f>IF(F85="","",VLOOKUP(O85,Rates!B:D,3,FALSE))</f>
        <v/>
      </c>
      <c r="K85" s="406" t="str">
        <f t="shared" si="3"/>
        <v/>
      </c>
      <c r="L85" s="350">
        <f t="shared" si="0"/>
        <v>0</v>
      </c>
      <c r="M85" s="362" t="str">
        <f t="shared" si="1"/>
        <v/>
      </c>
      <c r="O85" s="85" t="str">
        <f t="shared" si="2"/>
        <v>Choose Mutual Aid GradePlease Choose</v>
      </c>
    </row>
    <row r="86" spans="1:18" ht="15.75" x14ac:dyDescent="0.2">
      <c r="A86" s="288"/>
      <c r="B86" s="289"/>
      <c r="C86" s="348" t="s">
        <v>191</v>
      </c>
      <c r="D86" s="343"/>
      <c r="E86" s="414" t="s">
        <v>132</v>
      </c>
      <c r="F86" s="276"/>
      <c r="G86" s="382"/>
      <c r="H86" s="277"/>
      <c r="I86" s="41"/>
      <c r="J86" s="360" t="str">
        <f>IF(F86="","",VLOOKUP(O86,Rates!B:D,3,FALSE))</f>
        <v/>
      </c>
      <c r="K86" s="406" t="str">
        <f t="shared" si="3"/>
        <v/>
      </c>
      <c r="L86" s="350">
        <f t="shared" si="0"/>
        <v>0</v>
      </c>
      <c r="M86" s="362" t="str">
        <f t="shared" si="1"/>
        <v/>
      </c>
      <c r="O86" s="85" t="str">
        <f t="shared" si="2"/>
        <v>Choose Mutual Aid GradePlease Choose</v>
      </c>
    </row>
    <row r="87" spans="1:18" ht="16.5" thickBot="1" x14ac:dyDescent="0.25">
      <c r="A87" s="310"/>
      <c r="B87" s="291"/>
      <c r="C87" s="349" t="s">
        <v>191</v>
      </c>
      <c r="D87" s="346"/>
      <c r="E87" s="415" t="s">
        <v>132</v>
      </c>
      <c r="F87" s="278"/>
      <c r="G87" s="383"/>
      <c r="H87" s="279"/>
      <c r="I87" s="64"/>
      <c r="J87" s="361" t="str">
        <f>IF(F87="","",VLOOKUP(O87,Rates!B:D,3,FALSE))</f>
        <v/>
      </c>
      <c r="K87" s="406" t="str">
        <f t="shared" si="3"/>
        <v/>
      </c>
      <c r="L87" s="350">
        <f t="shared" si="0"/>
        <v>0</v>
      </c>
      <c r="M87" s="363" t="str">
        <f t="shared" si="1"/>
        <v/>
      </c>
      <c r="O87" s="85" t="str">
        <f t="shared" si="2"/>
        <v>Choose Mutual Aid GradePlease Choose</v>
      </c>
    </row>
    <row r="88" spans="1:18" ht="15.75" customHeight="1" thickBot="1" x14ac:dyDescent="0.25">
      <c r="A88" s="41"/>
      <c r="B88" s="41"/>
      <c r="C88" s="41"/>
      <c r="D88" s="41"/>
      <c r="E88" s="41"/>
      <c r="F88" s="41"/>
      <c r="G88" s="41"/>
      <c r="H88" s="41"/>
      <c r="I88" s="64"/>
      <c r="J88" s="293"/>
      <c r="K88" s="673" t="s">
        <v>269</v>
      </c>
      <c r="L88" s="674"/>
      <c r="M88" s="364">
        <f>SUM(M60:M87)</f>
        <v>0</v>
      </c>
      <c r="O88" s="106"/>
    </row>
    <row r="89" spans="1:18" ht="16.5" thickBot="1" x14ac:dyDescent="0.3">
      <c r="A89" s="39"/>
      <c r="B89" s="39"/>
      <c r="C89" s="38"/>
      <c r="D89" s="39"/>
      <c r="E89" s="39"/>
      <c r="F89" s="42"/>
      <c r="G89" s="42"/>
      <c r="H89" s="43"/>
      <c r="I89" s="64"/>
      <c r="J89" s="141"/>
      <c r="K89" s="142"/>
      <c r="L89" s="143"/>
      <c r="M89" s="144"/>
      <c r="O89" s="106"/>
    </row>
    <row r="90" spans="1:18" s="181" customFormat="1" ht="15" customHeight="1" x14ac:dyDescent="0.25">
      <c r="A90" s="725" t="s">
        <v>372</v>
      </c>
      <c r="B90" s="726"/>
      <c r="C90" s="726"/>
      <c r="D90" s="726"/>
      <c r="E90" s="726"/>
      <c r="F90" s="726"/>
      <c r="G90" s="726"/>
      <c r="H90" s="727"/>
      <c r="I90" s="188"/>
      <c r="J90" s="667" t="s">
        <v>373</v>
      </c>
      <c r="K90" s="668"/>
      <c r="L90" s="668"/>
      <c r="M90" s="669"/>
      <c r="O90" s="187"/>
    </row>
    <row r="91" spans="1:18" s="181" customFormat="1" ht="15.75" customHeight="1" thickBot="1" x14ac:dyDescent="0.3">
      <c r="A91" s="728"/>
      <c r="B91" s="729"/>
      <c r="C91" s="729"/>
      <c r="D91" s="729"/>
      <c r="E91" s="729"/>
      <c r="F91" s="729"/>
      <c r="G91" s="729"/>
      <c r="H91" s="730"/>
      <c r="I91" s="188"/>
      <c r="J91" s="670"/>
      <c r="K91" s="671"/>
      <c r="L91" s="671"/>
      <c r="M91" s="672"/>
      <c r="O91" s="187"/>
    </row>
    <row r="92" spans="1:18" s="208" customFormat="1" ht="44.25" customHeight="1" thickBot="1" x14ac:dyDescent="0.25">
      <c r="A92" s="121" t="s">
        <v>0</v>
      </c>
      <c r="B92" s="121" t="s">
        <v>1</v>
      </c>
      <c r="C92" s="122" t="s">
        <v>232</v>
      </c>
      <c r="D92" s="122" t="s">
        <v>223</v>
      </c>
      <c r="E92" s="122" t="s">
        <v>204</v>
      </c>
      <c r="F92" s="122" t="s">
        <v>203</v>
      </c>
      <c r="G92" s="122" t="s">
        <v>227</v>
      </c>
      <c r="H92" s="122" t="s">
        <v>318</v>
      </c>
      <c r="I92" s="115"/>
      <c r="J92" s="145" t="s">
        <v>228</v>
      </c>
      <c r="K92" s="145" t="s">
        <v>229</v>
      </c>
      <c r="L92" s="146" t="s">
        <v>230</v>
      </c>
      <c r="M92" s="396" t="s">
        <v>325</v>
      </c>
      <c r="N92" s="355"/>
      <c r="O92" s="356"/>
      <c r="P92" s="355"/>
      <c r="Q92" s="355"/>
      <c r="R92" s="355"/>
    </row>
    <row r="93" spans="1:18" ht="15.75" x14ac:dyDescent="0.2">
      <c r="A93" s="294"/>
      <c r="B93" s="289"/>
      <c r="C93" s="290" t="s">
        <v>191</v>
      </c>
      <c r="D93" s="295"/>
      <c r="E93" s="280"/>
      <c r="F93" s="280"/>
      <c r="G93" s="384" t="str">
        <f>IF(C93="please Choose"," ",VLOOKUP(C93,Equipment!$A$41:$B$47,2,FALSE))</f>
        <v xml:space="preserve"> </v>
      </c>
      <c r="H93" s="358"/>
      <c r="I93" s="64"/>
      <c r="J93" s="373" t="str">
        <f>IF($C93="Basic Overnight",(E93*F93*G93),IF($C93="Enhanced Overnight/Hardship",(E93*F93*VLOOKUP("Basic Overnight",Equipment!$A$42:$B$48,2,FALSE)),""))</f>
        <v/>
      </c>
      <c r="K93" s="391" t="str">
        <f>IF($C93="Hardship Only",(E93*F93*G93),IF($C93="Enhanced Overnight/Hardship",(E93*F93*VLOOKUP("Hardship Only",Equipment!$A$42:$B$48,2,FALSE)),""))</f>
        <v/>
      </c>
      <c r="L93" s="301" t="str">
        <f>IF($H93="","",(E93*H93*F93))</f>
        <v/>
      </c>
      <c r="M93" s="397" t="str">
        <f>IF(F93="","",(SUM(J93:L93)*1.138))</f>
        <v/>
      </c>
      <c r="O93" s="357"/>
    </row>
    <row r="94" spans="1:18" ht="15.75" x14ac:dyDescent="0.2">
      <c r="A94" s="296"/>
      <c r="B94" s="297"/>
      <c r="C94" s="290" t="s">
        <v>191</v>
      </c>
      <c r="D94" s="297"/>
      <c r="E94" s="281"/>
      <c r="F94" s="281"/>
      <c r="G94" s="384" t="str">
        <f>IF(C94="please Choose"," ",VLOOKUP(C94,Equipment!$A$41:$B$47,2,FALSE))</f>
        <v xml:space="preserve"> </v>
      </c>
      <c r="H94" s="358"/>
      <c r="I94" s="64"/>
      <c r="J94" s="360" t="str">
        <f>IF($C94="Basic Overnight",(E94*F94*G94),IF($C94="Enhanced Overnight/Hardship",(E94*F94*VLOOKUP("Basic Overnight",Equipment!$A$42:$B$48,2,FALSE)),""))</f>
        <v/>
      </c>
      <c r="K94" s="392" t="str">
        <f>IF($C94="Hardship Only",(E94*F94*G94),IF($C94="Enhanced Overnight/Hardship",(E94*F94*VLOOKUP("Hardship Only",Equipment!$A$42:$B$48,2,FALSE)),""))</f>
        <v/>
      </c>
      <c r="L94" s="302" t="str">
        <f t="shared" ref="L94:L101" si="4">IF($H94="","",(E94*H94*F94))</f>
        <v/>
      </c>
      <c r="M94" s="398" t="str">
        <f t="shared" ref="M94:M101" si="5">IF(F94="","",(SUM(J94:L94)*1.138))</f>
        <v/>
      </c>
      <c r="O94" s="357"/>
    </row>
    <row r="95" spans="1:18" ht="15.75" x14ac:dyDescent="0.2">
      <c r="A95" s="296"/>
      <c r="B95" s="297"/>
      <c r="C95" s="290" t="s">
        <v>191</v>
      </c>
      <c r="D95" s="297"/>
      <c r="E95" s="281"/>
      <c r="F95" s="281"/>
      <c r="G95" s="384" t="str">
        <f>IF(C95="please Choose"," ",VLOOKUP(C95,Equipment!$A$41:$B$47,2,FALSE))</f>
        <v xml:space="preserve"> </v>
      </c>
      <c r="H95" s="358"/>
      <c r="I95" s="64"/>
      <c r="J95" s="360" t="str">
        <f>IF($C95="Basic Overnight",(E95*F95*G95),IF($C95="Enhanced Overnight/Hardship",(E95*F95*VLOOKUP("Basic Overnight",Equipment!$A$42:$B$48,2,FALSE)),""))</f>
        <v/>
      </c>
      <c r="K95" s="392" t="str">
        <f>IF($C95="Hardship Only",(E95*F95*G95),IF($C95="Enhanced Overnight/Hardship",(E95*F95*VLOOKUP("Hardship Only",Equipment!$A$42:$B$48,2,FALSE)),""))</f>
        <v/>
      </c>
      <c r="L95" s="302" t="str">
        <f t="shared" si="4"/>
        <v/>
      </c>
      <c r="M95" s="398" t="str">
        <f t="shared" si="5"/>
        <v/>
      </c>
      <c r="O95" s="357"/>
    </row>
    <row r="96" spans="1:18" ht="15.75" x14ac:dyDescent="0.2">
      <c r="A96" s="296"/>
      <c r="B96" s="297"/>
      <c r="C96" s="290" t="s">
        <v>191</v>
      </c>
      <c r="D96" s="297"/>
      <c r="E96" s="281"/>
      <c r="F96" s="281"/>
      <c r="G96" s="384" t="str">
        <f>IF(C96="please Choose"," ",VLOOKUP(C96,Equipment!$A$41:$B$47,2,FALSE))</f>
        <v xml:space="preserve"> </v>
      </c>
      <c r="H96" s="358"/>
      <c r="I96" s="64"/>
      <c r="J96" s="360" t="str">
        <f>IF($C96="Basic Overnight",(E96*F96*G96),IF($C96="Enhanced Overnight/Hardship",(E96*F96*VLOOKUP("Basic Overnight",Equipment!$A$42:$B$48,2,FALSE)),""))</f>
        <v/>
      </c>
      <c r="K96" s="392" t="str">
        <f>IF($C96="Hardship Only",(E96*F96*G96),IF($C96="Enhanced Overnight/Hardship",(E96*F96*VLOOKUP("Hardship Only",Equipment!$A$42:$B$48,2,FALSE)),""))</f>
        <v/>
      </c>
      <c r="L96" s="302" t="str">
        <f t="shared" si="4"/>
        <v/>
      </c>
      <c r="M96" s="398" t="str">
        <f t="shared" si="5"/>
        <v/>
      </c>
      <c r="O96" s="357"/>
    </row>
    <row r="97" spans="1:18" ht="15.75" x14ac:dyDescent="0.2">
      <c r="A97" s="296"/>
      <c r="B97" s="297"/>
      <c r="C97" s="290" t="s">
        <v>191</v>
      </c>
      <c r="D97" s="297"/>
      <c r="E97" s="281"/>
      <c r="F97" s="281"/>
      <c r="G97" s="384" t="str">
        <f>IF(C97="please Choose"," ",VLOOKUP(C97,Equipment!$A$41:$B$47,2,FALSE))</f>
        <v xml:space="preserve"> </v>
      </c>
      <c r="H97" s="358"/>
      <c r="I97" s="64"/>
      <c r="J97" s="360" t="str">
        <f>IF($C97="Basic Overnight",(E97*F97*G97),IF($C97="Enhanced Overnight/Hardship",(E97*F97*VLOOKUP("Basic Overnight",Equipment!$A$42:$B$48,2,FALSE)),""))</f>
        <v/>
      </c>
      <c r="K97" s="392" t="str">
        <f>IF($C97="Hardship Only",(E97*F97*G97),IF($C97="Enhanced Overnight/Hardship",(E97*F97*VLOOKUP("Hardship Only",Equipment!$A$42:$B$48,2,FALSE)),""))</f>
        <v/>
      </c>
      <c r="L97" s="302" t="str">
        <f t="shared" si="4"/>
        <v/>
      </c>
      <c r="M97" s="398" t="str">
        <f t="shared" si="5"/>
        <v/>
      </c>
      <c r="O97" s="357"/>
    </row>
    <row r="98" spans="1:18" ht="15.75" x14ac:dyDescent="0.2">
      <c r="A98" s="296"/>
      <c r="B98" s="297"/>
      <c r="C98" s="290" t="s">
        <v>191</v>
      </c>
      <c r="D98" s="297"/>
      <c r="E98" s="281"/>
      <c r="F98" s="281"/>
      <c r="G98" s="384" t="str">
        <f>IF(C98="please Choose"," ",VLOOKUP(C98,Equipment!$A$41:$B$47,2,FALSE))</f>
        <v xml:space="preserve"> </v>
      </c>
      <c r="H98" s="358"/>
      <c r="I98" s="64"/>
      <c r="J98" s="360" t="str">
        <f>IF($C98="Basic Overnight",(E98*F98*G98),IF($C98="Enhanced Overnight/Hardship",(E98*F98*VLOOKUP("Basic Overnight",Equipment!$A$42:$B$48,2,FALSE)),""))</f>
        <v/>
      </c>
      <c r="K98" s="392" t="str">
        <f>IF($C98="Hardship Only",(E98*F98*G98),IF($C98="Enhanced Overnight/Hardship",(E98*F98*VLOOKUP("Hardship Only",Equipment!$A$42:$B$48,2,FALSE)),""))</f>
        <v/>
      </c>
      <c r="L98" s="302" t="str">
        <f t="shared" si="4"/>
        <v/>
      </c>
      <c r="M98" s="398" t="str">
        <f t="shared" si="5"/>
        <v/>
      </c>
      <c r="O98" s="357"/>
    </row>
    <row r="99" spans="1:18" ht="15.75" x14ac:dyDescent="0.2">
      <c r="A99" s="296"/>
      <c r="B99" s="297"/>
      <c r="C99" s="290" t="s">
        <v>191</v>
      </c>
      <c r="D99" s="297"/>
      <c r="E99" s="281"/>
      <c r="F99" s="281"/>
      <c r="G99" s="384" t="str">
        <f>IF(C99="please Choose"," ",VLOOKUP(C99,Equipment!$A$41:$B$47,2,FALSE))</f>
        <v xml:space="preserve"> </v>
      </c>
      <c r="H99" s="358"/>
      <c r="I99" s="64"/>
      <c r="J99" s="360" t="str">
        <f>IF($C99="Basic Overnight",(E99*F99*G99),IF($C99="Enhanced Overnight/Hardship",(E99*F99*VLOOKUP("Basic Overnight",Equipment!$A$42:$B$48,2,FALSE)),""))</f>
        <v/>
      </c>
      <c r="K99" s="392" t="str">
        <f>IF($C99="Hardship Only",(E99*F99*G99),IF($C99="Enhanced Overnight/Hardship",(E99*F99*VLOOKUP("Hardship Only",Equipment!$A$42:$B$48,2,FALSE)),""))</f>
        <v/>
      </c>
      <c r="L99" s="302" t="str">
        <f t="shared" si="4"/>
        <v/>
      </c>
      <c r="M99" s="398" t="str">
        <f t="shared" si="5"/>
        <v/>
      </c>
      <c r="O99" s="357"/>
    </row>
    <row r="100" spans="1:18" ht="15.75" x14ac:dyDescent="0.2">
      <c r="A100" s="296"/>
      <c r="B100" s="297"/>
      <c r="C100" s="290" t="s">
        <v>191</v>
      </c>
      <c r="D100" s="297"/>
      <c r="E100" s="281"/>
      <c r="F100" s="281"/>
      <c r="G100" s="384" t="str">
        <f>IF(C100="please Choose"," ",VLOOKUP(C100,Equipment!$A$41:$B$47,2,FALSE))</f>
        <v xml:space="preserve"> </v>
      </c>
      <c r="H100" s="358"/>
      <c r="I100" s="64"/>
      <c r="J100" s="360" t="str">
        <f>IF($C100="Basic Overnight",(E100*F100*G100),IF($C100="Enhanced Overnight/Hardship",(E100*F100*VLOOKUP("Basic Overnight",Equipment!$A$42:$B$48,2,FALSE)),""))</f>
        <v/>
      </c>
      <c r="K100" s="392" t="str">
        <f>IF($C100="Hardship Only",(E100*F100*G100),IF($C100="Enhanced Overnight/Hardship",(E100*F100*VLOOKUP("Hardship Only",Equipment!$A$42:$B$48,2,FALSE)),""))</f>
        <v/>
      </c>
      <c r="L100" s="302" t="str">
        <f t="shared" si="4"/>
        <v/>
      </c>
      <c r="M100" s="398" t="str">
        <f t="shared" si="5"/>
        <v/>
      </c>
      <c r="O100" s="357"/>
    </row>
    <row r="101" spans="1:18" ht="16.5" thickBot="1" x14ac:dyDescent="0.25">
      <c r="A101" s="310"/>
      <c r="B101" s="300"/>
      <c r="C101" s="292" t="s">
        <v>191</v>
      </c>
      <c r="D101" s="300"/>
      <c r="E101" s="282"/>
      <c r="F101" s="282"/>
      <c r="G101" s="385" t="str">
        <f>IF(C101="please Choose"," ",VLOOKUP(C101,Equipment!$A$41:$B$47,2,FALSE))</f>
        <v xml:space="preserve"> </v>
      </c>
      <c r="H101" s="359"/>
      <c r="I101" s="64"/>
      <c r="J101" s="361" t="str">
        <f>IF($C101="Basic Overnight",(E101*F101*G101),IF($C101="Enhanced Overnight/Hardship",(E101*F101*VLOOKUP("Basic Overnight",Equipment!$A$42:$B$48,2,FALSE)),""))</f>
        <v/>
      </c>
      <c r="K101" s="393" t="str">
        <f>IF($C101="Hardship Only",(E101*F101*G101),IF($C101="Enhanced Overnight/Hardship",(E101*F101*VLOOKUP("Hardship Only",Equipment!$A$42:$B$48,2,FALSE)),""))</f>
        <v/>
      </c>
      <c r="L101" s="303" t="str">
        <f t="shared" si="4"/>
        <v/>
      </c>
      <c r="M101" s="399" t="str">
        <f t="shared" si="5"/>
        <v/>
      </c>
      <c r="O101" s="357"/>
    </row>
    <row r="102" spans="1:18" ht="16.5" customHeight="1" thickBot="1" x14ac:dyDescent="0.25">
      <c r="A102" s="112"/>
      <c r="B102" s="112"/>
      <c r="C102" s="113"/>
      <c r="D102" s="112"/>
      <c r="E102" s="112"/>
      <c r="F102" s="112"/>
      <c r="G102" s="112"/>
      <c r="H102" s="112"/>
      <c r="I102" s="114"/>
      <c r="J102" s="304"/>
      <c r="K102" s="673" t="s">
        <v>205</v>
      </c>
      <c r="L102" s="674"/>
      <c r="M102" s="364">
        <f>SUM(M93:M101)</f>
        <v>0</v>
      </c>
      <c r="O102" s="357"/>
    </row>
    <row r="103" spans="1:18" ht="15" customHeight="1" x14ac:dyDescent="0.2">
      <c r="A103" s="201"/>
      <c r="B103" s="665" t="str">
        <f>IF(C93="Inspectors Bonus","Any Inspector bonus/allowances for deployments such as Mutual Aid are considered by the NPCC outside the remit of the National Guidelines on Charging for Police Services: Mutual Aid Cost Recovery and not reclaimable from a recipient of the Mutual Aid."," ")</f>
        <v xml:space="preserve"> </v>
      </c>
      <c r="C103" s="665"/>
      <c r="D103" s="665"/>
      <c r="E103" s="665"/>
      <c r="F103" s="665"/>
      <c r="G103" s="665"/>
      <c r="H103" s="665"/>
      <c r="I103" s="114"/>
      <c r="J103" s="149"/>
      <c r="K103" s="149"/>
      <c r="L103" s="149"/>
      <c r="M103" s="149"/>
      <c r="O103" s="357"/>
    </row>
    <row r="104" spans="1:18" ht="15.75" thickBot="1" x14ac:dyDescent="0.25">
      <c r="A104" s="201"/>
      <c r="B104" s="666"/>
      <c r="C104" s="666"/>
      <c r="D104" s="666"/>
      <c r="E104" s="666"/>
      <c r="F104" s="666"/>
      <c r="G104" s="666"/>
      <c r="H104" s="666"/>
      <c r="I104" s="114"/>
      <c r="J104" s="149"/>
      <c r="K104" s="149"/>
      <c r="L104" s="149"/>
      <c r="M104" s="149"/>
      <c r="O104" s="357"/>
    </row>
    <row r="105" spans="1:18" s="181" customFormat="1" ht="15" customHeight="1" x14ac:dyDescent="0.25">
      <c r="A105" s="702" t="s">
        <v>375</v>
      </c>
      <c r="B105" s="703"/>
      <c r="C105" s="703"/>
      <c r="D105" s="703"/>
      <c r="E105" s="703"/>
      <c r="F105" s="703"/>
      <c r="G105" s="703"/>
      <c r="H105" s="704"/>
      <c r="I105" s="188"/>
      <c r="J105" s="667" t="s">
        <v>374</v>
      </c>
      <c r="K105" s="668"/>
      <c r="L105" s="668"/>
      <c r="M105" s="669"/>
    </row>
    <row r="106" spans="1:18" s="181" customFormat="1" ht="15.75" customHeight="1" thickBot="1" x14ac:dyDescent="0.3">
      <c r="A106" s="705"/>
      <c r="B106" s="706"/>
      <c r="C106" s="706"/>
      <c r="D106" s="706"/>
      <c r="E106" s="706"/>
      <c r="F106" s="706"/>
      <c r="G106" s="706"/>
      <c r="H106" s="707"/>
      <c r="I106" s="188"/>
      <c r="J106" s="670"/>
      <c r="K106" s="671"/>
      <c r="L106" s="671"/>
      <c r="M106" s="672"/>
    </row>
    <row r="107" spans="1:18" s="119" customFormat="1" ht="44.25" customHeight="1" thickBot="1" x14ac:dyDescent="0.25">
      <c r="A107" s="128" t="s">
        <v>0</v>
      </c>
      <c r="B107" s="128" t="s">
        <v>1</v>
      </c>
      <c r="C107" s="126" t="s">
        <v>260</v>
      </c>
      <c r="D107" s="675" t="s">
        <v>223</v>
      </c>
      <c r="E107" s="676"/>
      <c r="F107" s="126" t="s">
        <v>240</v>
      </c>
      <c r="G107" s="126" t="s">
        <v>241</v>
      </c>
      <c r="H107" s="126" t="s">
        <v>242</v>
      </c>
      <c r="I107" s="115"/>
      <c r="J107" s="145" t="s">
        <v>279</v>
      </c>
      <c r="K107" s="631"/>
      <c r="L107" s="632"/>
      <c r="M107" s="147" t="s">
        <v>231</v>
      </c>
      <c r="N107" s="127"/>
      <c r="O107" s="127"/>
      <c r="P107" s="127"/>
      <c r="Q107" s="127"/>
      <c r="R107" s="127"/>
    </row>
    <row r="108" spans="1:18" ht="15.75" x14ac:dyDescent="0.2">
      <c r="A108" s="294"/>
      <c r="B108" s="295"/>
      <c r="C108" s="305" t="s">
        <v>239</v>
      </c>
      <c r="D108" s="306"/>
      <c r="E108" s="307"/>
      <c r="F108" s="283"/>
      <c r="G108" s="283"/>
      <c r="H108" s="386"/>
      <c r="I108" s="64"/>
      <c r="J108" s="374" t="str">
        <f>IF($C108="Specialist equipment",(F108*G108*H108),"")</f>
        <v/>
      </c>
      <c r="K108" s="313"/>
      <c r="L108" s="314"/>
      <c r="M108" s="362" t="str">
        <f>IF(F108="","",(SUM(J108)))</f>
        <v/>
      </c>
    </row>
    <row r="109" spans="1:18" ht="15.75" x14ac:dyDescent="0.2">
      <c r="A109" s="296"/>
      <c r="B109" s="297"/>
      <c r="C109" s="305" t="s">
        <v>239</v>
      </c>
      <c r="D109" s="308"/>
      <c r="E109" s="309"/>
      <c r="F109" s="271"/>
      <c r="G109" s="271"/>
      <c r="H109" s="387"/>
      <c r="I109" s="64"/>
      <c r="J109" s="375" t="str">
        <f t="shared" ref="J109:J110" si="6">IF($C109="Specialist equipment",(F109*G109*H109),"")</f>
        <v/>
      </c>
      <c r="K109" s="315"/>
      <c r="L109" s="316"/>
      <c r="M109" s="362" t="str">
        <f t="shared" ref="M109:M110" si="7">IF(F109="","",(SUM(J109)))</f>
        <v/>
      </c>
    </row>
    <row r="110" spans="1:18" ht="16.5" thickBot="1" x14ac:dyDescent="0.25">
      <c r="A110" s="310"/>
      <c r="B110" s="300"/>
      <c r="C110" s="292" t="s">
        <v>239</v>
      </c>
      <c r="D110" s="311"/>
      <c r="E110" s="312"/>
      <c r="F110" s="272"/>
      <c r="G110" s="272"/>
      <c r="H110" s="388"/>
      <c r="I110" s="64"/>
      <c r="J110" s="376" t="str">
        <f t="shared" si="6"/>
        <v/>
      </c>
      <c r="K110" s="317"/>
      <c r="L110" s="318"/>
      <c r="M110" s="362" t="str">
        <f t="shared" si="7"/>
        <v/>
      </c>
    </row>
    <row r="111" spans="1:18" ht="18.75" customHeight="1" thickBot="1" x14ac:dyDescent="0.25">
      <c r="A111" s="66"/>
      <c r="B111" s="63"/>
      <c r="C111" s="63"/>
      <c r="D111" s="63"/>
      <c r="E111" s="63"/>
      <c r="F111" s="63"/>
      <c r="G111" s="63"/>
      <c r="H111" s="63"/>
      <c r="I111" s="64"/>
      <c r="J111" s="304"/>
      <c r="K111" s="631" t="s">
        <v>244</v>
      </c>
      <c r="L111" s="701"/>
      <c r="M111" s="364">
        <f>SUM(M108:M110)</f>
        <v>0</v>
      </c>
    </row>
    <row r="112" spans="1:18" ht="27.75" customHeight="1" x14ac:dyDescent="0.25">
      <c r="A112" s="201" t="s">
        <v>223</v>
      </c>
      <c r="B112" s="708" t="s">
        <v>243</v>
      </c>
      <c r="C112" s="708"/>
      <c r="D112" s="708"/>
      <c r="E112" s="708"/>
      <c r="F112" s="708"/>
      <c r="G112" s="708"/>
      <c r="H112" s="708"/>
      <c r="I112" s="65"/>
      <c r="J112" s="158"/>
      <c r="K112" s="152"/>
      <c r="L112" s="153"/>
      <c r="M112" s="159"/>
    </row>
    <row r="113" spans="1:18" s="75" customFormat="1" ht="3.75" customHeight="1" x14ac:dyDescent="0.25">
      <c r="A113" s="66"/>
      <c r="B113" s="63"/>
      <c r="C113" s="63"/>
      <c r="D113" s="63"/>
      <c r="E113" s="63"/>
      <c r="F113" s="63"/>
      <c r="G113" s="63"/>
      <c r="H113" s="63"/>
      <c r="I113" s="63"/>
      <c r="J113" s="160"/>
      <c r="K113" s="152"/>
      <c r="L113" s="153"/>
      <c r="M113" s="159"/>
      <c r="N113" s="106"/>
      <c r="O113" s="106"/>
      <c r="P113" s="106"/>
      <c r="Q113" s="106"/>
      <c r="R113" s="106"/>
    </row>
    <row r="114" spans="1:18" ht="15.75" thickBot="1" x14ac:dyDescent="0.25">
      <c r="A114" s="73"/>
      <c r="B114" s="73"/>
      <c r="C114" s="73"/>
      <c r="D114" s="73"/>
      <c r="E114" s="73"/>
      <c r="F114" s="73"/>
      <c r="G114" s="73"/>
      <c r="H114" s="73"/>
      <c r="I114" s="114"/>
      <c r="J114" s="150"/>
      <c r="K114" s="150"/>
      <c r="L114" s="150"/>
      <c r="M114" s="150"/>
      <c r="O114" s="357"/>
    </row>
    <row r="115" spans="1:18" s="181" customFormat="1" ht="15" customHeight="1" x14ac:dyDescent="0.25">
      <c r="A115" s="702" t="s">
        <v>388</v>
      </c>
      <c r="B115" s="703"/>
      <c r="C115" s="703"/>
      <c r="D115" s="703"/>
      <c r="E115" s="703"/>
      <c r="F115" s="703"/>
      <c r="G115" s="703"/>
      <c r="H115" s="704"/>
      <c r="I115" s="189"/>
      <c r="J115" s="667" t="s">
        <v>376</v>
      </c>
      <c r="K115" s="668"/>
      <c r="L115" s="668"/>
      <c r="M115" s="669"/>
      <c r="O115" s="190"/>
    </row>
    <row r="116" spans="1:18" s="181" customFormat="1" ht="15.75" customHeight="1" thickBot="1" x14ac:dyDescent="0.3">
      <c r="A116" s="705"/>
      <c r="B116" s="706"/>
      <c r="C116" s="706"/>
      <c r="D116" s="706"/>
      <c r="E116" s="706"/>
      <c r="F116" s="706"/>
      <c r="G116" s="706"/>
      <c r="H116" s="707"/>
      <c r="I116" s="189"/>
      <c r="J116" s="670"/>
      <c r="K116" s="671"/>
      <c r="L116" s="671"/>
      <c r="M116" s="672"/>
      <c r="O116" s="187"/>
    </row>
    <row r="117" spans="1:18" s="119" customFormat="1" ht="44.25" customHeight="1" thickBot="1" x14ac:dyDescent="0.25">
      <c r="A117" s="116" t="s">
        <v>0</v>
      </c>
      <c r="B117" s="116" t="s">
        <v>1</v>
      </c>
      <c r="C117" s="116" t="s">
        <v>233</v>
      </c>
      <c r="D117" s="116" t="s">
        <v>223</v>
      </c>
      <c r="E117" s="116" t="s">
        <v>4</v>
      </c>
      <c r="F117" s="116" t="s">
        <v>200</v>
      </c>
      <c r="G117" s="116" t="s">
        <v>199</v>
      </c>
      <c r="H117" s="118" t="s">
        <v>196</v>
      </c>
      <c r="I117" s="117"/>
      <c r="J117" s="151" t="s">
        <v>197</v>
      </c>
      <c r="K117" s="151" t="s">
        <v>221</v>
      </c>
      <c r="L117" s="151" t="s">
        <v>222</v>
      </c>
      <c r="M117" s="165" t="s">
        <v>198</v>
      </c>
      <c r="N117" s="127"/>
      <c r="O117" s="120"/>
      <c r="P117" s="127"/>
      <c r="Q117" s="127"/>
      <c r="R117" s="127"/>
    </row>
    <row r="118" spans="1:18" ht="15.75" x14ac:dyDescent="0.2">
      <c r="A118" s="296"/>
      <c r="B118" s="297"/>
      <c r="C118" s="290" t="s">
        <v>212</v>
      </c>
      <c r="D118" s="297"/>
      <c r="E118" s="276"/>
      <c r="F118" s="284"/>
      <c r="G118" s="285"/>
      <c r="H118" s="319" t="str">
        <f>IF(F118="","",VLOOKUP($C118,Equipment!$A$21:$D$30,2,FALSE))</f>
        <v/>
      </c>
      <c r="I118" s="320"/>
      <c r="J118" s="321" t="str">
        <f>IF(F118="","",VLOOKUP($C118,Equipment!$A$21:$D$30,4,FALSE))</f>
        <v/>
      </c>
      <c r="K118" s="371" t="str">
        <f>IF($F118="","",$G118*$J118)</f>
        <v/>
      </c>
      <c r="L118" s="322" t="str">
        <f>IF($F118="","",$H118*$F118*$E118)</f>
        <v/>
      </c>
      <c r="M118" s="362" t="str">
        <f>IF(H118="","",K118+L118)</f>
        <v/>
      </c>
      <c r="O118" s="106"/>
    </row>
    <row r="119" spans="1:18" s="85" customFormat="1" ht="15" customHeight="1" x14ac:dyDescent="0.2">
      <c r="A119" s="296"/>
      <c r="B119" s="297"/>
      <c r="C119" s="290" t="s">
        <v>191</v>
      </c>
      <c r="D119" s="297"/>
      <c r="E119" s="276"/>
      <c r="F119" s="284"/>
      <c r="G119" s="285"/>
      <c r="H119" s="319" t="str">
        <f>IF(F119="","",VLOOKUP($C119,Equipment!$A$21:$D$30,2,FALSE))</f>
        <v/>
      </c>
      <c r="I119" s="320"/>
      <c r="J119" s="321" t="str">
        <f>IF(F119="","",VLOOKUP($C119,Equipment!$A$21:$D$30,4,FALSE))</f>
        <v/>
      </c>
      <c r="K119" s="371" t="str">
        <f t="shared" ref="K119:K126" si="8">IF(F119="","",G119*J119)</f>
        <v/>
      </c>
      <c r="L119" s="323" t="str">
        <f t="shared" ref="L119:L126" si="9">IF($F119="","",$H119*$F119*$E119)</f>
        <v/>
      </c>
      <c r="M119" s="362" t="str">
        <f t="shared" ref="M119:M126" si="10">IF(H119="","",K119+L119)</f>
        <v/>
      </c>
      <c r="O119" s="106"/>
    </row>
    <row r="120" spans="1:18" s="85" customFormat="1" ht="15.75" customHeight="1" x14ac:dyDescent="0.2">
      <c r="A120" s="296"/>
      <c r="B120" s="297"/>
      <c r="C120" s="290" t="s">
        <v>191</v>
      </c>
      <c r="D120" s="297"/>
      <c r="E120" s="276"/>
      <c r="F120" s="284"/>
      <c r="G120" s="285"/>
      <c r="H120" s="319" t="str">
        <f>IF(F120="","",VLOOKUP($C120,Equipment!$A$21:$D$30,2,FALSE))</f>
        <v/>
      </c>
      <c r="I120" s="320"/>
      <c r="J120" s="321" t="str">
        <f>IF(F120="","",VLOOKUP($C120,Equipment!$A$21:$D$30,4,FALSE))</f>
        <v/>
      </c>
      <c r="K120" s="371" t="str">
        <f t="shared" si="8"/>
        <v/>
      </c>
      <c r="L120" s="323" t="str">
        <f t="shared" si="9"/>
        <v/>
      </c>
      <c r="M120" s="362" t="str">
        <f t="shared" si="10"/>
        <v/>
      </c>
      <c r="O120" s="106"/>
    </row>
    <row r="121" spans="1:18" ht="15.75" x14ac:dyDescent="0.2">
      <c r="A121" s="296"/>
      <c r="B121" s="297"/>
      <c r="C121" s="290" t="s">
        <v>191</v>
      </c>
      <c r="D121" s="297"/>
      <c r="E121" s="276"/>
      <c r="F121" s="284"/>
      <c r="G121" s="285"/>
      <c r="H121" s="319" t="str">
        <f>IF(F121="","",VLOOKUP($C121,Equipment!$A$21:$D$30,2,FALSE))</f>
        <v/>
      </c>
      <c r="I121" s="320"/>
      <c r="J121" s="321" t="str">
        <f>IF(F121="","",VLOOKUP($C121,Equipment!$A$21:$D$30,4,FALSE))</f>
        <v/>
      </c>
      <c r="K121" s="371" t="str">
        <f t="shared" si="8"/>
        <v/>
      </c>
      <c r="L121" s="323" t="str">
        <f t="shared" si="9"/>
        <v/>
      </c>
      <c r="M121" s="362" t="str">
        <f t="shared" si="10"/>
        <v/>
      </c>
    </row>
    <row r="122" spans="1:18" ht="15.75" x14ac:dyDescent="0.2">
      <c r="A122" s="296"/>
      <c r="B122" s="297"/>
      <c r="C122" s="290" t="s">
        <v>191</v>
      </c>
      <c r="D122" s="297"/>
      <c r="E122" s="276"/>
      <c r="F122" s="284"/>
      <c r="G122" s="285"/>
      <c r="H122" s="319" t="str">
        <f>IF(F122="","",VLOOKUP($C122,Equipment!$A$21:$D$30,2,FALSE))</f>
        <v/>
      </c>
      <c r="I122" s="320"/>
      <c r="J122" s="321" t="str">
        <f>IF(F122="","",VLOOKUP($C122,Equipment!$A$21:$D$30,4,FALSE))</f>
        <v/>
      </c>
      <c r="K122" s="371" t="str">
        <f t="shared" si="8"/>
        <v/>
      </c>
      <c r="L122" s="323" t="str">
        <f t="shared" si="9"/>
        <v/>
      </c>
      <c r="M122" s="362" t="str">
        <f t="shared" si="10"/>
        <v/>
      </c>
    </row>
    <row r="123" spans="1:18" ht="15.75" x14ac:dyDescent="0.2">
      <c r="A123" s="296"/>
      <c r="B123" s="297"/>
      <c r="C123" s="290" t="s">
        <v>191</v>
      </c>
      <c r="D123" s="297"/>
      <c r="E123" s="276"/>
      <c r="F123" s="284"/>
      <c r="G123" s="285"/>
      <c r="H123" s="319" t="str">
        <f>IF(F123="","",VLOOKUP($C123,Equipment!$A$21:$D$30,2,FALSE))</f>
        <v/>
      </c>
      <c r="I123" s="320"/>
      <c r="J123" s="321" t="str">
        <f>IF(F123="","",VLOOKUP($C123,Equipment!$A$21:$D$30,4,FALSE))</f>
        <v/>
      </c>
      <c r="K123" s="371" t="str">
        <f t="shared" si="8"/>
        <v/>
      </c>
      <c r="L123" s="323" t="str">
        <f t="shared" si="9"/>
        <v/>
      </c>
      <c r="M123" s="362" t="str">
        <f t="shared" si="10"/>
        <v/>
      </c>
    </row>
    <row r="124" spans="1:18" ht="15.75" x14ac:dyDescent="0.2">
      <c r="A124" s="296"/>
      <c r="B124" s="297"/>
      <c r="C124" s="290" t="s">
        <v>191</v>
      </c>
      <c r="D124" s="297"/>
      <c r="E124" s="276"/>
      <c r="F124" s="284"/>
      <c r="G124" s="285"/>
      <c r="H124" s="319" t="str">
        <f>IF(F124="","",VLOOKUP($C124,Equipment!$A$21:$D$30,2,FALSE))</f>
        <v/>
      </c>
      <c r="I124" s="320"/>
      <c r="J124" s="321" t="str">
        <f>IF(F124="","",VLOOKUP($C124,Equipment!$A$21:$D$30,4,FALSE))</f>
        <v/>
      </c>
      <c r="K124" s="371" t="str">
        <f t="shared" si="8"/>
        <v/>
      </c>
      <c r="L124" s="323" t="str">
        <f t="shared" si="9"/>
        <v/>
      </c>
      <c r="M124" s="362" t="str">
        <f t="shared" si="10"/>
        <v/>
      </c>
    </row>
    <row r="125" spans="1:18" ht="15.75" x14ac:dyDescent="0.2">
      <c r="A125" s="296"/>
      <c r="B125" s="297"/>
      <c r="C125" s="290" t="s">
        <v>191</v>
      </c>
      <c r="D125" s="297"/>
      <c r="E125" s="276"/>
      <c r="F125" s="284"/>
      <c r="G125" s="285"/>
      <c r="H125" s="319" t="str">
        <f>IF(F125="","",VLOOKUP($C125,Equipment!$A$21:$D$30,2,FALSE))</f>
        <v/>
      </c>
      <c r="I125" s="320"/>
      <c r="J125" s="321" t="str">
        <f>IF(F125="","",VLOOKUP($C125,Equipment!$A$21:$D$30,4,FALSE))</f>
        <v/>
      </c>
      <c r="K125" s="371" t="str">
        <f t="shared" si="8"/>
        <v/>
      </c>
      <c r="L125" s="323" t="str">
        <f t="shared" si="9"/>
        <v/>
      </c>
      <c r="M125" s="362" t="str">
        <f t="shared" si="10"/>
        <v/>
      </c>
    </row>
    <row r="126" spans="1:18" ht="16.5" thickBot="1" x14ac:dyDescent="0.25">
      <c r="A126" s="310"/>
      <c r="B126" s="300"/>
      <c r="C126" s="292" t="s">
        <v>191</v>
      </c>
      <c r="D126" s="300"/>
      <c r="E126" s="278"/>
      <c r="F126" s="286"/>
      <c r="G126" s="287"/>
      <c r="H126" s="324" t="str">
        <f>IF(F126="","",VLOOKUP($C126,Equipment!$A$21:$D$30,2,FALSE))</f>
        <v/>
      </c>
      <c r="I126" s="320"/>
      <c r="J126" s="325" t="str">
        <f>IF(F126="","",VLOOKUP($C126,Equipment!$A$21:$D$30,4,FALSE))</f>
        <v/>
      </c>
      <c r="K126" s="372" t="str">
        <f t="shared" si="8"/>
        <v/>
      </c>
      <c r="L126" s="326" t="str">
        <f t="shared" si="9"/>
        <v/>
      </c>
      <c r="M126" s="363" t="str">
        <f t="shared" si="10"/>
        <v/>
      </c>
    </row>
    <row r="127" spans="1:18" ht="15.75" thickBot="1" x14ac:dyDescent="0.25">
      <c r="A127" s="327"/>
      <c r="B127" s="327"/>
      <c r="C127" s="327"/>
      <c r="D127" s="327"/>
      <c r="E127" s="320"/>
      <c r="F127" s="328"/>
      <c r="G127" s="328"/>
      <c r="H127" s="329"/>
      <c r="I127" s="320"/>
      <c r="J127" s="304"/>
      <c r="K127" s="636" t="s">
        <v>202</v>
      </c>
      <c r="L127" s="637"/>
      <c r="M127" s="365">
        <f>SUM(M118:M126)</f>
        <v>0</v>
      </c>
    </row>
    <row r="128" spans="1:18" ht="16.5" customHeight="1" thickBot="1" x14ac:dyDescent="0.25">
      <c r="A128" s="330"/>
      <c r="B128" s="330"/>
      <c r="C128" s="677" t="s">
        <v>219</v>
      </c>
      <c r="D128" s="678"/>
      <c r="E128" s="347">
        <v>1.4077999999999999</v>
      </c>
      <c r="F128" s="328"/>
      <c r="G128" s="328"/>
      <c r="H128" s="329"/>
      <c r="I128" s="320"/>
      <c r="J128" s="304"/>
      <c r="K128" s="331"/>
      <c r="L128" s="332"/>
      <c r="M128" s="333"/>
    </row>
    <row r="129" spans="1:18" ht="16.5" customHeight="1" thickBot="1" x14ac:dyDescent="0.25">
      <c r="A129" s="330"/>
      <c r="B129" s="330"/>
      <c r="C129" s="677" t="s">
        <v>220</v>
      </c>
      <c r="D129" s="678"/>
      <c r="E129" s="347">
        <v>1.4865999999999999</v>
      </c>
      <c r="F129" s="328"/>
      <c r="G129" s="328"/>
      <c r="H129" s="329"/>
      <c r="I129" s="320"/>
      <c r="J129" s="304"/>
      <c r="K129" s="331"/>
      <c r="L129" s="332"/>
      <c r="M129" s="334"/>
    </row>
    <row r="130" spans="1:18" ht="16.5" thickBot="1" x14ac:dyDescent="0.3">
      <c r="A130" s="39"/>
      <c r="B130" s="39"/>
      <c r="C130" s="38"/>
      <c r="D130" s="39"/>
      <c r="E130" s="39"/>
      <c r="F130" s="42"/>
      <c r="G130" s="42"/>
      <c r="H130" s="43"/>
      <c r="I130" s="64"/>
      <c r="J130" s="140"/>
      <c r="K130" s="152"/>
      <c r="L130" s="153"/>
      <c r="M130" s="154"/>
    </row>
    <row r="131" spans="1:18" s="181" customFormat="1" ht="15" customHeight="1" x14ac:dyDescent="0.25">
      <c r="A131" s="725" t="s">
        <v>389</v>
      </c>
      <c r="B131" s="726"/>
      <c r="C131" s="726"/>
      <c r="D131" s="726"/>
      <c r="E131" s="726"/>
      <c r="F131" s="726"/>
      <c r="G131" s="726"/>
      <c r="H131" s="727"/>
      <c r="I131" s="188"/>
      <c r="J131" s="667" t="s">
        <v>377</v>
      </c>
      <c r="K131" s="668"/>
      <c r="L131" s="668"/>
      <c r="M131" s="669"/>
    </row>
    <row r="132" spans="1:18" s="181" customFormat="1" ht="15.75" customHeight="1" thickBot="1" x14ac:dyDescent="0.3">
      <c r="A132" s="728"/>
      <c r="B132" s="729"/>
      <c r="C132" s="729"/>
      <c r="D132" s="729"/>
      <c r="E132" s="729"/>
      <c r="F132" s="729"/>
      <c r="G132" s="729"/>
      <c r="H132" s="730"/>
      <c r="I132" s="188"/>
      <c r="J132" s="670"/>
      <c r="K132" s="671"/>
      <c r="L132" s="671"/>
      <c r="M132" s="672"/>
    </row>
    <row r="133" spans="1:18" s="119" customFormat="1" ht="44.25" customHeight="1" thickBot="1" x14ac:dyDescent="0.25">
      <c r="A133" s="121" t="s">
        <v>0</v>
      </c>
      <c r="B133" s="121" t="s">
        <v>1</v>
      </c>
      <c r="C133" s="122" t="s">
        <v>259</v>
      </c>
      <c r="D133" s="682" t="s">
        <v>223</v>
      </c>
      <c r="E133" s="683"/>
      <c r="F133" s="683"/>
      <c r="G133" s="683"/>
      <c r="H133" s="684"/>
      <c r="I133" s="115"/>
      <c r="J133" s="155" t="s">
        <v>237</v>
      </c>
      <c r="K133" s="631"/>
      <c r="L133" s="632"/>
      <c r="M133" s="264" t="s">
        <v>238</v>
      </c>
      <c r="N133" s="127"/>
      <c r="O133" s="127"/>
      <c r="P133" s="127"/>
      <c r="Q133" s="127"/>
      <c r="R133" s="127"/>
    </row>
    <row r="134" spans="1:18" ht="15.75" x14ac:dyDescent="0.2">
      <c r="A134" s="294"/>
      <c r="B134" s="295"/>
      <c r="C134" s="305" t="s">
        <v>234</v>
      </c>
      <c r="D134" s="685"/>
      <c r="E134" s="686"/>
      <c r="F134" s="686"/>
      <c r="G134" s="686"/>
      <c r="H134" s="687"/>
      <c r="I134" s="320"/>
      <c r="J134" s="368"/>
      <c r="K134" s="313"/>
      <c r="L134" s="314"/>
      <c r="M134" s="366" t="str">
        <f>IF(J134="","",J134)</f>
        <v/>
      </c>
    </row>
    <row r="135" spans="1:18" ht="15.75" x14ac:dyDescent="0.2">
      <c r="A135" s="296"/>
      <c r="B135" s="297"/>
      <c r="C135" s="305" t="s">
        <v>234</v>
      </c>
      <c r="D135" s="679"/>
      <c r="E135" s="680"/>
      <c r="F135" s="680"/>
      <c r="G135" s="680"/>
      <c r="H135" s="681"/>
      <c r="I135" s="320"/>
      <c r="J135" s="369"/>
      <c r="K135" s="315"/>
      <c r="L135" s="316"/>
      <c r="M135" s="366" t="str">
        <f t="shared" ref="M135:M142" si="11">IF(J135="","",J135)</f>
        <v/>
      </c>
    </row>
    <row r="136" spans="1:18" ht="15.75" x14ac:dyDescent="0.2">
      <c r="A136" s="296"/>
      <c r="B136" s="297"/>
      <c r="C136" s="305" t="s">
        <v>234</v>
      </c>
      <c r="D136" s="679"/>
      <c r="E136" s="680"/>
      <c r="F136" s="680"/>
      <c r="G136" s="680"/>
      <c r="H136" s="681"/>
      <c r="I136" s="320"/>
      <c r="J136" s="369"/>
      <c r="K136" s="315"/>
      <c r="L136" s="316"/>
      <c r="M136" s="366" t="str">
        <f t="shared" si="11"/>
        <v/>
      </c>
    </row>
    <row r="137" spans="1:18" ht="15.75" x14ac:dyDescent="0.2">
      <c r="A137" s="296"/>
      <c r="B137" s="297"/>
      <c r="C137" s="305" t="s">
        <v>234</v>
      </c>
      <c r="D137" s="679"/>
      <c r="E137" s="680"/>
      <c r="F137" s="680"/>
      <c r="G137" s="680"/>
      <c r="H137" s="681"/>
      <c r="I137" s="320"/>
      <c r="J137" s="369"/>
      <c r="K137" s="315"/>
      <c r="L137" s="316"/>
      <c r="M137" s="366" t="str">
        <f t="shared" si="11"/>
        <v/>
      </c>
    </row>
    <row r="138" spans="1:18" ht="15.75" x14ac:dyDescent="0.2">
      <c r="A138" s="296"/>
      <c r="B138" s="297"/>
      <c r="C138" s="305" t="s">
        <v>234</v>
      </c>
      <c r="D138" s="679"/>
      <c r="E138" s="680"/>
      <c r="F138" s="680"/>
      <c r="G138" s="680"/>
      <c r="H138" s="681"/>
      <c r="I138" s="320"/>
      <c r="J138" s="369"/>
      <c r="K138" s="315"/>
      <c r="L138" s="316"/>
      <c r="M138" s="366" t="str">
        <f t="shared" si="11"/>
        <v/>
      </c>
    </row>
    <row r="139" spans="1:18" ht="15.75" x14ac:dyDescent="0.2">
      <c r="A139" s="296"/>
      <c r="B139" s="297"/>
      <c r="C139" s="305" t="s">
        <v>234</v>
      </c>
      <c r="D139" s="679"/>
      <c r="E139" s="680"/>
      <c r="F139" s="680"/>
      <c r="G139" s="680"/>
      <c r="H139" s="681"/>
      <c r="I139" s="320"/>
      <c r="J139" s="369"/>
      <c r="K139" s="315"/>
      <c r="L139" s="316"/>
      <c r="M139" s="366" t="str">
        <f t="shared" si="11"/>
        <v/>
      </c>
    </row>
    <row r="140" spans="1:18" ht="15.75" x14ac:dyDescent="0.2">
      <c r="A140" s="296"/>
      <c r="B140" s="297"/>
      <c r="C140" s="305" t="s">
        <v>234</v>
      </c>
      <c r="D140" s="679"/>
      <c r="E140" s="680"/>
      <c r="F140" s="680"/>
      <c r="G140" s="680"/>
      <c r="H140" s="681"/>
      <c r="I140" s="320"/>
      <c r="J140" s="369"/>
      <c r="K140" s="315"/>
      <c r="L140" s="316"/>
      <c r="M140" s="366" t="str">
        <f t="shared" si="11"/>
        <v/>
      </c>
    </row>
    <row r="141" spans="1:18" ht="15.75" x14ac:dyDescent="0.2">
      <c r="A141" s="296"/>
      <c r="B141" s="297"/>
      <c r="C141" s="305" t="s">
        <v>234</v>
      </c>
      <c r="D141" s="679"/>
      <c r="E141" s="680"/>
      <c r="F141" s="680"/>
      <c r="G141" s="680"/>
      <c r="H141" s="681"/>
      <c r="I141" s="320"/>
      <c r="J141" s="369"/>
      <c r="K141" s="315"/>
      <c r="L141" s="316"/>
      <c r="M141" s="366" t="str">
        <f t="shared" si="11"/>
        <v/>
      </c>
    </row>
    <row r="142" spans="1:18" ht="16.5" thickBot="1" x14ac:dyDescent="0.25">
      <c r="A142" s="310"/>
      <c r="B142" s="300"/>
      <c r="C142" s="335" t="s">
        <v>234</v>
      </c>
      <c r="D142" s="783"/>
      <c r="E142" s="784"/>
      <c r="F142" s="784"/>
      <c r="G142" s="784"/>
      <c r="H142" s="785"/>
      <c r="I142" s="320"/>
      <c r="J142" s="370"/>
      <c r="K142" s="317"/>
      <c r="L142" s="318"/>
      <c r="M142" s="367" t="str">
        <f t="shared" si="11"/>
        <v/>
      </c>
    </row>
    <row r="143" spans="1:18" ht="23.25" customHeight="1" thickBot="1" x14ac:dyDescent="0.25">
      <c r="A143" s="336"/>
      <c r="B143" s="336"/>
      <c r="C143" s="337"/>
      <c r="D143" s="336"/>
      <c r="E143" s="336"/>
      <c r="F143" s="336"/>
      <c r="G143" s="336"/>
      <c r="H143" s="336"/>
      <c r="I143" s="320"/>
      <c r="J143" s="304"/>
      <c r="K143" s="723" t="s">
        <v>246</v>
      </c>
      <c r="L143" s="724"/>
      <c r="M143" s="365">
        <f>SUM(M134:M142)</f>
        <v>0</v>
      </c>
    </row>
    <row r="144" spans="1:18" ht="15.75" thickBot="1" x14ac:dyDescent="0.25">
      <c r="A144" s="112"/>
      <c r="B144" s="113"/>
      <c r="C144" s="113"/>
      <c r="D144" s="113"/>
      <c r="E144" s="113"/>
      <c r="F144" s="113"/>
      <c r="G144" s="113"/>
      <c r="H144" s="113"/>
      <c r="I144" s="64"/>
      <c r="J144" s="149"/>
      <c r="K144" s="149"/>
      <c r="L144" s="149"/>
      <c r="M144" s="149"/>
    </row>
    <row r="145" spans="1:18" s="75" customFormat="1" ht="15.75" customHeight="1" x14ac:dyDescent="0.25">
      <c r="A145" s="223" t="s">
        <v>137</v>
      </c>
      <c r="B145" s="192"/>
      <c r="C145" s="192"/>
      <c r="D145" s="192"/>
      <c r="E145" s="192"/>
      <c r="F145" s="63"/>
      <c r="G145" s="63"/>
      <c r="H145" s="63"/>
      <c r="I145" s="667" t="s">
        <v>245</v>
      </c>
      <c r="J145" s="789"/>
      <c r="K145" s="789"/>
      <c r="L145" s="789"/>
      <c r="M145" s="790"/>
      <c r="N145" s="106"/>
      <c r="O145" s="106"/>
      <c r="P145" s="106"/>
      <c r="Q145" s="106"/>
      <c r="R145" s="106"/>
    </row>
    <row r="146" spans="1:18" s="75" customFormat="1" ht="15.75" customHeight="1" thickBot="1" x14ac:dyDescent="0.25">
      <c r="A146" s="89"/>
      <c r="B146" s="70"/>
      <c r="C146" s="70"/>
      <c r="D146" s="70"/>
      <c r="E146" s="70"/>
      <c r="F146" s="63"/>
      <c r="G146" s="63"/>
      <c r="H146" s="63"/>
      <c r="I146" s="791"/>
      <c r="J146" s="792"/>
      <c r="K146" s="792"/>
      <c r="L146" s="792"/>
      <c r="M146" s="793"/>
      <c r="N146" s="106"/>
      <c r="O146" s="106"/>
      <c r="P146" s="106"/>
      <c r="Q146" s="106"/>
      <c r="R146" s="106"/>
    </row>
    <row r="147" spans="1:18" ht="15.75" x14ac:dyDescent="0.25">
      <c r="A147" s="89" t="s">
        <v>99</v>
      </c>
      <c r="B147" s="70"/>
      <c r="C147" s="641" t="str">
        <f>IF(C27="","",C27)</f>
        <v/>
      </c>
      <c r="D147" s="642" t="e">
        <f>IF(#REF!="","",#REF!*#REF!*A147)</f>
        <v>#REF!</v>
      </c>
      <c r="E147" s="643" t="e">
        <f>IF(#REF!="","",A147*#REF!*B147)</f>
        <v>#REF!</v>
      </c>
      <c r="F147" s="25"/>
      <c r="G147" s="25"/>
      <c r="H147" s="25"/>
      <c r="I147" s="731" t="s">
        <v>329</v>
      </c>
      <c r="J147" s="732"/>
      <c r="K147" s="732"/>
      <c r="L147" s="733">
        <f>M88+'IDR ADDL FORM'!L147:M147</f>
        <v>0</v>
      </c>
      <c r="M147" s="734"/>
    </row>
    <row r="148" spans="1:18" ht="15.75" x14ac:dyDescent="0.25">
      <c r="A148" s="89"/>
      <c r="B148" s="70"/>
      <c r="C148" s="93"/>
      <c r="D148" s="93"/>
      <c r="E148" s="93"/>
      <c r="F148" s="25"/>
      <c r="G148" s="25"/>
      <c r="H148" s="25"/>
      <c r="I148" s="731" t="s">
        <v>330</v>
      </c>
      <c r="J148" s="732"/>
      <c r="K148" s="732"/>
      <c r="L148" s="768">
        <f>M102+'IDR ADDL FORM'!L149:M149</f>
        <v>0</v>
      </c>
      <c r="M148" s="769"/>
    </row>
    <row r="149" spans="1:18" ht="15.75" x14ac:dyDescent="0.25">
      <c r="A149" s="89" t="s">
        <v>100</v>
      </c>
      <c r="B149" s="70"/>
      <c r="C149" s="641" t="str">
        <f>IF(C29="","",C29)</f>
        <v/>
      </c>
      <c r="D149" s="642" t="e">
        <f>IF(#REF!="","",#REF!*#REF!*A149)</f>
        <v>#REF!</v>
      </c>
      <c r="E149" s="643" t="e">
        <f>IF(#REF!="","",A149*#REF!*B149)</f>
        <v>#REF!</v>
      </c>
      <c r="F149" s="25"/>
      <c r="G149" s="25"/>
      <c r="H149" s="25"/>
      <c r="I149" s="731" t="s">
        <v>331</v>
      </c>
      <c r="J149" s="732"/>
      <c r="K149" s="732"/>
      <c r="L149" s="768">
        <f>M127+'IDR ADDL FORM'!L150:M150</f>
        <v>0</v>
      </c>
      <c r="M149" s="769"/>
    </row>
    <row r="150" spans="1:18" ht="15" customHeight="1" x14ac:dyDescent="0.25">
      <c r="A150" s="89"/>
      <c r="B150" s="70"/>
      <c r="C150" s="93"/>
      <c r="D150" s="93"/>
      <c r="E150" s="93"/>
      <c r="I150" s="731" t="s">
        <v>332</v>
      </c>
      <c r="J150" s="732"/>
      <c r="K150" s="732"/>
      <c r="L150" s="768">
        <f>M143+'IDR ADDL FORM'!L151:M151</f>
        <v>0</v>
      </c>
      <c r="M150" s="769"/>
    </row>
    <row r="151" spans="1:18" ht="15.75" customHeight="1" x14ac:dyDescent="0.25">
      <c r="A151" s="89" t="s">
        <v>136</v>
      </c>
      <c r="B151" s="70"/>
      <c r="C151" s="641" t="str">
        <f>IF(C31="","",C31)</f>
        <v/>
      </c>
      <c r="D151" s="642" t="e">
        <f>IF(#REF!="","",#REF!*#REF!*A151)</f>
        <v>#REF!</v>
      </c>
      <c r="E151" s="643" t="e">
        <f>IF(#REF!="","",A151*#REF!*B151)</f>
        <v>#REF!</v>
      </c>
      <c r="I151" s="731" t="s">
        <v>333</v>
      </c>
      <c r="J151" s="732"/>
      <c r="K151" s="732"/>
      <c r="L151" s="768">
        <f>M111+'IDR ADDL FORM'!L152:M152</f>
        <v>0</v>
      </c>
      <c r="M151" s="769"/>
    </row>
    <row r="152" spans="1:18" ht="16.5" thickBot="1" x14ac:dyDescent="0.3">
      <c r="A152" s="89"/>
      <c r="B152" s="70"/>
      <c r="C152" s="95"/>
      <c r="D152" s="95"/>
      <c r="E152" s="95"/>
      <c r="I152" s="740" t="s">
        <v>334</v>
      </c>
      <c r="J152" s="741"/>
      <c r="K152" s="741"/>
      <c r="L152" s="717">
        <f>SUM(L147:M151)</f>
        <v>0</v>
      </c>
      <c r="M152" s="718"/>
    </row>
    <row r="153" spans="1:18" ht="16.5" customHeight="1" thickBot="1" x14ac:dyDescent="0.3">
      <c r="A153" s="416" t="s">
        <v>381</v>
      </c>
      <c r="C153" s="752"/>
      <c r="D153" s="753"/>
      <c r="E153" s="753"/>
      <c r="F153" s="753"/>
      <c r="G153" s="754"/>
      <c r="I153" s="742" t="s">
        <v>319</v>
      </c>
      <c r="J153" s="743"/>
      <c r="K153" s="743"/>
      <c r="L153" s="719">
        <f>'TDR RESOURCES'!L138:M138</f>
        <v>0</v>
      </c>
      <c r="M153" s="720"/>
    </row>
    <row r="154" spans="1:18" ht="15.6" customHeight="1" x14ac:dyDescent="0.25">
      <c r="A154" s="19"/>
      <c r="C154" s="755"/>
      <c r="D154" s="756"/>
      <c r="E154" s="756"/>
      <c r="F154" s="756"/>
      <c r="G154" s="757"/>
      <c r="I154" s="744" t="s">
        <v>378</v>
      </c>
      <c r="J154" s="745"/>
      <c r="K154" s="746"/>
      <c r="L154" s="721">
        <f>SUM(L152:M153)</f>
        <v>0</v>
      </c>
      <c r="M154" s="722"/>
    </row>
    <row r="155" spans="1:18" ht="18.75" customHeight="1" thickBot="1" x14ac:dyDescent="0.3">
      <c r="A155" s="19"/>
      <c r="C155" s="755"/>
      <c r="D155" s="756"/>
      <c r="E155" s="756"/>
      <c r="F155" s="756"/>
      <c r="G155" s="757"/>
      <c r="I155" s="747" t="str">
        <f>IF(A20="UKFPU","ADMIN FEE @ 0%",IF(A20="COP 26 - POLICE SCOTLAND","ADMIN FEE @ 2.5%","ADMIN FEE @ 5%"))</f>
        <v>ADMIN FEE @ 5%</v>
      </c>
      <c r="J155" s="748"/>
      <c r="K155" s="748"/>
      <c r="L155" s="770">
        <f>IF(A20="UKFPU",0,ROUND(L154*0.05,2))</f>
        <v>0</v>
      </c>
      <c r="M155" s="722"/>
    </row>
    <row r="156" spans="1:18" ht="20.45" customHeight="1" thickBot="1" x14ac:dyDescent="0.35">
      <c r="A156" s="19"/>
      <c r="C156" s="758"/>
      <c r="D156" s="759"/>
      <c r="E156" s="759"/>
      <c r="F156" s="759"/>
      <c r="G156" s="760"/>
      <c r="I156" s="737" t="s">
        <v>379</v>
      </c>
      <c r="J156" s="738"/>
      <c r="K156" s="739"/>
      <c r="L156" s="767">
        <f>SUM(L154:M155)</f>
        <v>0</v>
      </c>
      <c r="M156" s="767"/>
    </row>
    <row r="157" spans="1:18" ht="15.75" thickBot="1" x14ac:dyDescent="0.25">
      <c r="A157" s="418"/>
    </row>
    <row r="158" spans="1:18" ht="15" customHeight="1" x14ac:dyDescent="0.2">
      <c r="A158" s="786" t="s">
        <v>315</v>
      </c>
      <c r="B158" s="787"/>
      <c r="C158" s="787"/>
      <c r="D158" s="787"/>
      <c r="E158" s="787"/>
      <c r="F158" s="787"/>
      <c r="G158" s="787"/>
      <c r="H158" s="787"/>
      <c r="I158" s="787"/>
      <c r="J158" s="787"/>
      <c r="K158" s="787"/>
      <c r="L158" s="787"/>
      <c r="M158" s="788"/>
    </row>
    <row r="159" spans="1:18" ht="15.75" customHeight="1" x14ac:dyDescent="0.2">
      <c r="A159" s="761" t="s">
        <v>316</v>
      </c>
      <c r="B159" s="762"/>
      <c r="C159" s="762"/>
      <c r="D159" s="762"/>
      <c r="E159" s="762"/>
      <c r="F159" s="762"/>
      <c r="G159" s="762"/>
      <c r="H159" s="762"/>
      <c r="I159" s="762"/>
      <c r="J159" s="762"/>
      <c r="K159" s="762"/>
      <c r="L159" s="762"/>
      <c r="M159" s="763"/>
    </row>
    <row r="160" spans="1:18" ht="15" customHeight="1" x14ac:dyDescent="0.2">
      <c r="A160" s="761" t="s">
        <v>317</v>
      </c>
      <c r="B160" s="762"/>
      <c r="C160" s="762"/>
      <c r="D160" s="762"/>
      <c r="E160" s="762"/>
      <c r="F160" s="762"/>
      <c r="G160" s="762"/>
      <c r="H160" s="762"/>
      <c r="I160" s="762"/>
      <c r="J160" s="762"/>
      <c r="K160" s="762"/>
      <c r="L160" s="762"/>
      <c r="M160" s="763"/>
    </row>
    <row r="161" spans="1:13" ht="15" customHeight="1" x14ac:dyDescent="0.2">
      <c r="A161" s="761" t="s">
        <v>386</v>
      </c>
      <c r="B161" s="762"/>
      <c r="C161" s="762"/>
      <c r="D161" s="762"/>
      <c r="E161" s="762"/>
      <c r="F161" s="762"/>
      <c r="G161" s="762"/>
      <c r="H161" s="762"/>
      <c r="I161" s="762"/>
      <c r="J161" s="762"/>
      <c r="K161" s="762"/>
      <c r="L161" s="762"/>
      <c r="M161" s="763"/>
    </row>
    <row r="162" spans="1:13" ht="15" customHeight="1" thickBot="1" x14ac:dyDescent="0.25">
      <c r="A162" s="764" t="s">
        <v>380</v>
      </c>
      <c r="B162" s="765"/>
      <c r="C162" s="765"/>
      <c r="D162" s="765"/>
      <c r="E162" s="765"/>
      <c r="F162" s="765"/>
      <c r="G162" s="765"/>
      <c r="H162" s="765"/>
      <c r="I162" s="765"/>
      <c r="J162" s="765"/>
      <c r="K162" s="765"/>
      <c r="L162" s="765"/>
      <c r="M162" s="766"/>
    </row>
    <row r="163" spans="1:13" ht="15.75" thickBot="1" x14ac:dyDescent="0.25"/>
    <row r="164" spans="1:13" ht="15" customHeight="1" x14ac:dyDescent="0.2">
      <c r="A164" s="163" t="s">
        <v>249</v>
      </c>
      <c r="B164" s="161"/>
      <c r="C164" s="161"/>
      <c r="D164" s="162"/>
      <c r="F164" s="774" t="s">
        <v>247</v>
      </c>
      <c r="G164" s="775"/>
      <c r="H164" s="775"/>
      <c r="I164" s="775"/>
      <c r="J164" s="775"/>
      <c r="K164" s="775"/>
      <c r="L164" s="775"/>
      <c r="M164" s="776"/>
    </row>
    <row r="165" spans="1:13" ht="15" customHeight="1" x14ac:dyDescent="0.2">
      <c r="A165" s="268"/>
      <c r="B165" s="749" t="s">
        <v>248</v>
      </c>
      <c r="C165" s="750"/>
      <c r="D165" s="751"/>
      <c r="F165" s="777"/>
      <c r="G165" s="778"/>
      <c r="H165" s="778"/>
      <c r="I165" s="778"/>
      <c r="J165" s="778"/>
      <c r="K165" s="778"/>
      <c r="L165" s="778"/>
      <c r="M165" s="779"/>
    </row>
    <row r="166" spans="1:13" ht="15" customHeight="1" x14ac:dyDescent="0.2">
      <c r="A166" s="267"/>
      <c r="B166" s="749" t="s">
        <v>262</v>
      </c>
      <c r="C166" s="750"/>
      <c r="D166" s="751"/>
      <c r="F166" s="777"/>
      <c r="G166" s="778"/>
      <c r="H166" s="778"/>
      <c r="I166" s="778"/>
      <c r="J166" s="778"/>
      <c r="K166" s="778"/>
      <c r="L166" s="778"/>
      <c r="M166" s="779"/>
    </row>
    <row r="167" spans="1:13" ht="15" customHeight="1" x14ac:dyDescent="0.25">
      <c r="A167" s="269" t="s">
        <v>313</v>
      </c>
      <c r="B167" s="749" t="s">
        <v>250</v>
      </c>
      <c r="C167" s="750"/>
      <c r="D167" s="751"/>
      <c r="F167" s="777"/>
      <c r="G167" s="778"/>
      <c r="H167" s="778"/>
      <c r="I167" s="778"/>
      <c r="J167" s="778"/>
      <c r="K167" s="778"/>
      <c r="L167" s="778"/>
      <c r="M167" s="779"/>
    </row>
    <row r="168" spans="1:13" ht="15.75" customHeight="1" x14ac:dyDescent="0.2">
      <c r="A168" s="270"/>
      <c r="B168" s="735" t="s">
        <v>384</v>
      </c>
      <c r="C168" s="735"/>
      <c r="D168" s="736"/>
      <c r="F168" s="777"/>
      <c r="G168" s="778"/>
      <c r="H168" s="778"/>
      <c r="I168" s="778"/>
      <c r="J168" s="778"/>
      <c r="K168" s="778"/>
      <c r="L168" s="778"/>
      <c r="M168" s="779"/>
    </row>
    <row r="169" spans="1:13" ht="15.75" thickBot="1" x14ac:dyDescent="0.25">
      <c r="A169" s="199"/>
      <c r="B169" s="771" t="s">
        <v>251</v>
      </c>
      <c r="C169" s="772"/>
      <c r="D169" s="773"/>
      <c r="F169" s="780"/>
      <c r="G169" s="781"/>
      <c r="H169" s="781"/>
      <c r="I169" s="781"/>
      <c r="J169" s="781"/>
      <c r="K169" s="781"/>
      <c r="L169" s="781"/>
      <c r="M169" s="782"/>
    </row>
    <row r="170" spans="1:13" ht="14.25" customHeight="1" x14ac:dyDescent="0.2">
      <c r="A170" s="19"/>
      <c r="B170" s="200"/>
      <c r="C170" s="19"/>
      <c r="D170" s="19"/>
    </row>
    <row r="171" spans="1:13" x14ac:dyDescent="0.2">
      <c r="A171" s="19"/>
      <c r="B171" s="19"/>
      <c r="C171" s="19"/>
      <c r="D171" s="19"/>
    </row>
  </sheetData>
  <sheetProtection selectLockedCells="1"/>
  <protectedRanges>
    <protectedRange password="C534" sqref="C88:I88 I61:I87 C60:H87" name="Input_Personnel_3"/>
    <protectedRange sqref="K22" name="start date"/>
    <protectedRange sqref="M22 H23:H24" name="end date"/>
    <protectedRange sqref="G42:G43 G39 F37:G38 A40:A41" name="Mutual aid Grade_1"/>
    <protectedRange sqref="A50 F51 G54:G56 F49:G49 A52:A53" name="Mutual aid Grade_4"/>
  </protectedRanges>
  <mergeCells count="98">
    <mergeCell ref="B169:D169"/>
    <mergeCell ref="F164:M169"/>
    <mergeCell ref="D137:H137"/>
    <mergeCell ref="D140:H140"/>
    <mergeCell ref="D141:H141"/>
    <mergeCell ref="D142:H142"/>
    <mergeCell ref="A159:M159"/>
    <mergeCell ref="A158:M158"/>
    <mergeCell ref="C149:E149"/>
    <mergeCell ref="C151:E151"/>
    <mergeCell ref="L149:M149"/>
    <mergeCell ref="L150:M150"/>
    <mergeCell ref="L148:M148"/>
    <mergeCell ref="I145:M146"/>
    <mergeCell ref="I147:K147"/>
    <mergeCell ref="I148:K148"/>
    <mergeCell ref="I149:K149"/>
    <mergeCell ref="C153:G156"/>
    <mergeCell ref="A161:M161"/>
    <mergeCell ref="A162:M162"/>
    <mergeCell ref="L156:M156"/>
    <mergeCell ref="L151:M151"/>
    <mergeCell ref="A160:M160"/>
    <mergeCell ref="L155:M155"/>
    <mergeCell ref="B168:D168"/>
    <mergeCell ref="I156:K156"/>
    <mergeCell ref="I151:K151"/>
    <mergeCell ref="I152:K152"/>
    <mergeCell ref="I153:K153"/>
    <mergeCell ref="I154:K154"/>
    <mergeCell ref="I155:K155"/>
    <mergeCell ref="B165:D165"/>
    <mergeCell ref="B166:D166"/>
    <mergeCell ref="B167:D167"/>
    <mergeCell ref="A49:E49"/>
    <mergeCell ref="A50:D50"/>
    <mergeCell ref="L152:M152"/>
    <mergeCell ref="L153:M153"/>
    <mergeCell ref="L154:M154"/>
    <mergeCell ref="K143:L143"/>
    <mergeCell ref="A90:H91"/>
    <mergeCell ref="J90:M91"/>
    <mergeCell ref="K102:L102"/>
    <mergeCell ref="A131:H132"/>
    <mergeCell ref="J131:M132"/>
    <mergeCell ref="I150:K150"/>
    <mergeCell ref="L147:M147"/>
    <mergeCell ref="D138:H138"/>
    <mergeCell ref="D139:H139"/>
    <mergeCell ref="C147:E147"/>
    <mergeCell ref="J57:M58"/>
    <mergeCell ref="A52:D52"/>
    <mergeCell ref="G52:M52"/>
    <mergeCell ref="G53:M53"/>
    <mergeCell ref="J115:M116"/>
    <mergeCell ref="K111:L111"/>
    <mergeCell ref="A105:H106"/>
    <mergeCell ref="B112:H112"/>
    <mergeCell ref="A115:H116"/>
    <mergeCell ref="A57:C58"/>
    <mergeCell ref="D57:H58"/>
    <mergeCell ref="C128:D128"/>
    <mergeCell ref="D136:H136"/>
    <mergeCell ref="D133:H133"/>
    <mergeCell ref="D134:H134"/>
    <mergeCell ref="D135:H135"/>
    <mergeCell ref="K133:L133"/>
    <mergeCell ref="G50:M50"/>
    <mergeCell ref="K127:L127"/>
    <mergeCell ref="A40:C40"/>
    <mergeCell ref="C27:E27"/>
    <mergeCell ref="A37:E37"/>
    <mergeCell ref="A43:F45"/>
    <mergeCell ref="D40:F40"/>
    <mergeCell ref="H40:M40"/>
    <mergeCell ref="H43:M45"/>
    <mergeCell ref="K107:L107"/>
    <mergeCell ref="B103:H104"/>
    <mergeCell ref="J105:M106"/>
    <mergeCell ref="K88:L88"/>
    <mergeCell ref="D107:E107"/>
    <mergeCell ref="C129:D129"/>
    <mergeCell ref="D22:G24"/>
    <mergeCell ref="C33:E33"/>
    <mergeCell ref="C31:E31"/>
    <mergeCell ref="I31:M31"/>
    <mergeCell ref="D4:J11"/>
    <mergeCell ref="A6:C10"/>
    <mergeCell ref="K6:M10"/>
    <mergeCell ref="H16:M16"/>
    <mergeCell ref="H18:M18"/>
    <mergeCell ref="G25:M25"/>
    <mergeCell ref="A20:D20"/>
    <mergeCell ref="H20:M20"/>
    <mergeCell ref="C29:E29"/>
    <mergeCell ref="I27:M27"/>
    <mergeCell ref="I29:M29"/>
    <mergeCell ref="I33:M33"/>
  </mergeCells>
  <conditionalFormatting sqref="D57:H58">
    <cfRule type="expression" dxfId="1" priority="1">
      <formula>$A$20="UKFPU"</formula>
    </cfRule>
  </conditionalFormatting>
  <dataValidations count="14">
    <dataValidation type="list" allowBlank="1" showInputMessage="1" showErrorMessage="1" promptTitle="Mutual Aid Grade" prompt="Select appropriate Mutual Aid Grade" sqref="A41">
      <formula1>MAG</formula1>
    </dataValidation>
    <dataValidation type="list" allowBlank="1" showInputMessage="1" showErrorMessage="1" sqref="A52:A53">
      <formula1>deploy</formula1>
    </dataValidation>
    <dataValidation type="list" allowBlank="1" showInputMessage="1" showErrorMessage="1" sqref="A50">
      <formula1>YesNo</formula1>
    </dataValidation>
    <dataValidation type="list" allowBlank="1" showInputMessage="1" showErrorMessage="1" sqref="D88">
      <formula1>ranksandg</formula1>
    </dataValidation>
    <dataValidation type="list" allowBlank="1" showInputMessage="1" showErrorMessage="1" sqref="E102 E143">
      <formula1>allowt</formula1>
    </dataValidation>
    <dataValidation type="list" allowBlank="1" showInputMessage="1" showErrorMessage="1" sqref="E130 E127 E89">
      <formula1>vehiclet</formula1>
    </dataValidation>
    <dataValidation type="list" allowBlank="1" showInputMessage="1" showErrorMessage="1" sqref="C118:C126">
      <formula1>Vehicle</formula1>
    </dataValidation>
    <dataValidation type="list" allowBlank="1" showInputMessage="1" showErrorMessage="1" sqref="C93:C101">
      <formula1>Allow</formula1>
    </dataValidation>
    <dataValidation type="list" allowBlank="1" showInputMessage="1" showErrorMessage="1" sqref="E88">
      <formula1>RESOURCES</formula1>
    </dataValidation>
    <dataValidation type="list" allowBlank="1" showInputMessage="1" showErrorMessage="1" sqref="C134:C142">
      <formula1>Consume</formula1>
    </dataValidation>
    <dataValidation type="list" allowBlank="1" showInputMessage="1" showErrorMessage="1" sqref="C108:C110">
      <formula1>Equip</formula1>
    </dataValidation>
    <dataValidation type="list" allowBlank="1" showInputMessage="1" showErrorMessage="1" sqref="A40:C40 E60:E87">
      <formula1>MAG</formula1>
    </dataValidation>
    <dataValidation type="list" allowBlank="1" showInputMessage="1" showErrorMessage="1" sqref="H20:H21 A4:A5 A21">
      <formula1>Force</formula1>
    </dataValidation>
    <dataValidation type="list" allowBlank="1" showInputMessage="1" showErrorMessage="1" sqref="C60:C87">
      <formula1>Rank</formula1>
    </dataValidation>
  </dataValidations>
  <pageMargins left="0.35433070866141736" right="0.23622047244094491" top="0.39370078740157483" bottom="0.39370078740157483" header="0.19685039370078741" footer="0.39370078740157483"/>
  <pageSetup paperSize="9" scale="56" fitToHeight="2" orientation="portrait" horizontalDpi="4294967295" verticalDpi="300" r:id="rId1"/>
  <headerFooter>
    <oddFooter xml:space="preserve">&amp;L&amp;8&amp;F&amp;R&amp;8&amp;P </oddFooter>
  </headerFooter>
  <rowBreaks count="1" manualBreakCount="1">
    <brk id="88" max="12" man="1"/>
  </rowBreaks>
  <ignoredErrors>
    <ignoredError sqref="L155" formula="1"/>
    <ignoredError sqref="K60:K87 C147 C149 C151"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Crests!$A$2:$A$59</xm:f>
          </x14:formula1>
          <xm:sqref>A20:D20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R171"/>
  <sheetViews>
    <sheetView showGridLines="0" zoomScale="80" zoomScaleNormal="80" zoomScaleSheetLayoutView="75" zoomScalePageLayoutView="75" workbookViewId="0">
      <selection activeCell="N16" sqref="N16"/>
    </sheetView>
  </sheetViews>
  <sheetFormatPr defaultColWidth="8.88671875" defaultRowHeight="15" x14ac:dyDescent="0.2"/>
  <cols>
    <col min="1" max="2" width="9.6640625" customWidth="1"/>
    <col min="3" max="3" width="17.33203125" customWidth="1"/>
    <col min="4" max="4" width="23.33203125" customWidth="1"/>
    <col min="5" max="5" width="17.44140625" bestFit="1" customWidth="1"/>
    <col min="6" max="8" width="8" customWidth="1"/>
    <col min="9" max="9" width="4.21875" customWidth="1"/>
    <col min="10" max="10" width="11.44140625" customWidth="1"/>
    <col min="11" max="11" width="12" customWidth="1"/>
    <col min="12" max="12" width="9.6640625" customWidth="1"/>
    <col min="13" max="13" width="13.33203125" customWidth="1"/>
    <col min="14" max="18" width="8.88671875" style="85"/>
    <col min="19" max="16384" width="8.88671875" style="72"/>
  </cols>
  <sheetData>
    <row r="1" spans="1:13" x14ac:dyDescent="0.2">
      <c r="A1" s="194"/>
      <c r="B1" s="161"/>
      <c r="C1" s="161"/>
      <c r="D1" s="161"/>
      <c r="E1" s="161"/>
      <c r="F1" s="161"/>
      <c r="G1" s="161"/>
      <c r="H1" s="161"/>
      <c r="I1" s="161"/>
      <c r="J1" s="161"/>
      <c r="K1" s="161"/>
      <c r="L1" s="161"/>
      <c r="M1" s="162"/>
    </row>
    <row r="2" spans="1:13" x14ac:dyDescent="0.2">
      <c r="A2" s="265"/>
      <c r="B2" s="19"/>
      <c r="C2" s="19"/>
      <c r="D2" s="19"/>
      <c r="E2" s="19"/>
      <c r="F2" s="19"/>
      <c r="G2" s="19"/>
      <c r="H2" s="19"/>
      <c r="I2" s="19"/>
      <c r="J2" s="19"/>
      <c r="K2" s="19"/>
      <c r="L2" s="19"/>
      <c r="M2" s="266"/>
    </row>
    <row r="3" spans="1:13" x14ac:dyDescent="0.2">
      <c r="A3" s="265"/>
      <c r="B3" s="19"/>
      <c r="C3" s="19"/>
      <c r="D3" s="19"/>
      <c r="E3" s="19"/>
      <c r="F3" s="19"/>
      <c r="G3" s="19"/>
      <c r="H3" s="19"/>
      <c r="I3" s="19"/>
      <c r="J3" s="19"/>
      <c r="K3" s="19"/>
      <c r="L3" s="19"/>
      <c r="M3" s="266"/>
    </row>
    <row r="4" spans="1:13" ht="15.75" customHeight="1" x14ac:dyDescent="0.2">
      <c r="A4" s="195"/>
      <c r="B4" s="196"/>
      <c r="C4" s="196"/>
      <c r="D4" s="610" t="s">
        <v>427</v>
      </c>
      <c r="E4" s="611"/>
      <c r="F4" s="611"/>
      <c r="G4" s="611"/>
      <c r="H4" s="611"/>
      <c r="I4" s="611"/>
      <c r="J4" s="611"/>
      <c r="K4" s="196"/>
      <c r="L4" s="196"/>
      <c r="M4" s="197"/>
    </row>
    <row r="5" spans="1:13" ht="15.75" customHeight="1" x14ac:dyDescent="0.2">
      <c r="A5" s="195"/>
      <c r="B5" s="196"/>
      <c r="C5" s="196"/>
      <c r="D5" s="611"/>
      <c r="E5" s="611"/>
      <c r="F5" s="611"/>
      <c r="G5" s="611"/>
      <c r="H5" s="611"/>
      <c r="I5" s="611"/>
      <c r="J5" s="611"/>
      <c r="K5" s="196"/>
      <c r="L5" s="196"/>
      <c r="M5" s="197"/>
    </row>
    <row r="6" spans="1:13" ht="18.75" customHeight="1" x14ac:dyDescent="0.2">
      <c r="A6" s="613"/>
      <c r="B6" s="614"/>
      <c r="C6" s="614"/>
      <c r="D6" s="611"/>
      <c r="E6" s="611"/>
      <c r="F6" s="611"/>
      <c r="G6" s="611"/>
      <c r="H6" s="611"/>
      <c r="I6" s="611"/>
      <c r="J6" s="611"/>
      <c r="K6" s="615"/>
      <c r="L6" s="615"/>
      <c r="M6" s="616"/>
    </row>
    <row r="7" spans="1:13" ht="18" customHeight="1" x14ac:dyDescent="0.2">
      <c r="A7" s="613"/>
      <c r="B7" s="614"/>
      <c r="C7" s="614"/>
      <c r="D7" s="611"/>
      <c r="E7" s="611"/>
      <c r="F7" s="611"/>
      <c r="G7" s="611"/>
      <c r="H7" s="611"/>
      <c r="I7" s="611"/>
      <c r="J7" s="611"/>
      <c r="K7" s="615"/>
      <c r="L7" s="615"/>
      <c r="M7" s="616"/>
    </row>
    <row r="8" spans="1:13" ht="18" customHeight="1" x14ac:dyDescent="0.2">
      <c r="A8" s="613"/>
      <c r="B8" s="614"/>
      <c r="C8" s="614"/>
      <c r="D8" s="611"/>
      <c r="E8" s="611"/>
      <c r="F8" s="611"/>
      <c r="G8" s="611"/>
      <c r="H8" s="611"/>
      <c r="I8" s="611"/>
      <c r="J8" s="611"/>
      <c r="K8" s="615"/>
      <c r="L8" s="615"/>
      <c r="M8" s="616"/>
    </row>
    <row r="9" spans="1:13" ht="15.75" customHeight="1" x14ac:dyDescent="0.2">
      <c r="A9" s="613"/>
      <c r="B9" s="614"/>
      <c r="C9" s="614"/>
      <c r="D9" s="611"/>
      <c r="E9" s="611"/>
      <c r="F9" s="611"/>
      <c r="G9" s="611"/>
      <c r="H9" s="611"/>
      <c r="I9" s="611"/>
      <c r="J9" s="611"/>
      <c r="K9" s="615"/>
      <c r="L9" s="615"/>
      <c r="M9" s="616"/>
    </row>
    <row r="10" spans="1:13" ht="15.75" customHeight="1" x14ac:dyDescent="0.2">
      <c r="A10" s="613"/>
      <c r="B10" s="614"/>
      <c r="C10" s="614"/>
      <c r="D10" s="611"/>
      <c r="E10" s="611"/>
      <c r="F10" s="611"/>
      <c r="G10" s="611"/>
      <c r="H10" s="611"/>
      <c r="I10" s="611"/>
      <c r="J10" s="611"/>
      <c r="K10" s="615"/>
      <c r="L10" s="615"/>
      <c r="M10" s="616"/>
    </row>
    <row r="11" spans="1:13" ht="18" customHeight="1" thickBot="1" x14ac:dyDescent="0.3">
      <c r="A11" s="67"/>
      <c r="B11" s="35"/>
      <c r="C11" s="35"/>
      <c r="D11" s="612"/>
      <c r="E11" s="612"/>
      <c r="F11" s="612"/>
      <c r="G11" s="612"/>
      <c r="H11" s="612"/>
      <c r="I11" s="612"/>
      <c r="J11" s="612"/>
      <c r="K11" s="36"/>
      <c r="L11" s="36"/>
      <c r="M11" s="68"/>
    </row>
    <row r="12" spans="1:13" ht="14.25" customHeight="1" x14ac:dyDescent="0.2">
      <c r="A12" s="76"/>
      <c r="B12" s="77"/>
      <c r="C12" s="77"/>
      <c r="D12" s="77"/>
      <c r="E12" s="70"/>
      <c r="F12" s="70"/>
      <c r="G12" s="77"/>
      <c r="H12" s="77"/>
      <c r="I12" s="77"/>
      <c r="J12" s="77"/>
      <c r="K12" s="77"/>
      <c r="L12" s="77"/>
      <c r="M12" s="71"/>
    </row>
    <row r="13" spans="1:13" ht="14.25" customHeight="1" x14ac:dyDescent="0.2">
      <c r="A13" s="76"/>
      <c r="B13" s="77"/>
      <c r="C13" s="77"/>
      <c r="D13" s="77"/>
      <c r="E13" s="70"/>
      <c r="F13" s="70"/>
      <c r="G13" s="77"/>
      <c r="H13" s="77"/>
      <c r="I13" s="77"/>
      <c r="J13" s="77"/>
      <c r="K13" s="77"/>
      <c r="L13" s="77"/>
      <c r="M13" s="71"/>
    </row>
    <row r="14" spans="1:13" ht="14.25" customHeight="1" x14ac:dyDescent="0.2">
      <c r="A14" s="76"/>
      <c r="B14" s="77"/>
      <c r="C14" s="77"/>
      <c r="D14" s="77"/>
      <c r="E14" s="70"/>
      <c r="F14" s="70"/>
      <c r="G14" s="77"/>
      <c r="H14" s="77"/>
      <c r="I14" s="77"/>
      <c r="J14" s="77"/>
      <c r="K14" s="77"/>
      <c r="L14" s="77"/>
      <c r="M14" s="71"/>
    </row>
    <row r="15" spans="1:13" ht="14.25" customHeight="1" thickBot="1" x14ac:dyDescent="0.25">
      <c r="A15" s="76"/>
      <c r="B15" s="77"/>
      <c r="C15" s="77"/>
      <c r="D15" s="77"/>
      <c r="E15" s="70"/>
      <c r="F15" s="70"/>
      <c r="G15" s="77"/>
      <c r="H15" s="77"/>
      <c r="I15" s="77"/>
      <c r="J15" s="77"/>
      <c r="K15" s="77"/>
      <c r="L15" s="77"/>
      <c r="M15" s="71"/>
    </row>
    <row r="16" spans="1:13" s="181" customFormat="1" ht="18.75" thickBot="1" x14ac:dyDescent="0.3">
      <c r="A16" s="224" t="s">
        <v>252</v>
      </c>
      <c r="B16" s="225"/>
      <c r="C16" s="225"/>
      <c r="D16" s="225"/>
      <c r="E16" s="225"/>
      <c r="F16" s="225"/>
      <c r="G16" s="225"/>
      <c r="H16" s="617"/>
      <c r="I16" s="617"/>
      <c r="J16" s="617"/>
      <c r="K16" s="617"/>
      <c r="L16" s="617"/>
      <c r="M16" s="618"/>
    </row>
    <row r="17" spans="1:18" ht="14.25" customHeight="1" x14ac:dyDescent="0.2">
      <c r="A17" s="76"/>
      <c r="B17" s="77"/>
      <c r="C17" s="77"/>
      <c r="D17" s="77"/>
      <c r="E17" s="70"/>
      <c r="F17" s="70"/>
      <c r="G17" s="77"/>
      <c r="H17" s="77"/>
      <c r="I17" s="77"/>
      <c r="J17" s="77"/>
      <c r="K17" s="77"/>
      <c r="L17" s="77"/>
      <c r="M17" s="71"/>
    </row>
    <row r="18" spans="1:18" s="179" customFormat="1" ht="18" x14ac:dyDescent="0.25">
      <c r="A18" s="177" t="s">
        <v>154</v>
      </c>
      <c r="B18" s="178"/>
      <c r="C18" s="178"/>
      <c r="D18" s="178"/>
      <c r="E18" s="178"/>
      <c r="F18" s="178"/>
      <c r="G18" s="178"/>
      <c r="H18" s="619" t="s">
        <v>155</v>
      </c>
      <c r="I18" s="619"/>
      <c r="J18" s="619"/>
      <c r="K18" s="619"/>
      <c r="L18" s="619"/>
      <c r="M18" s="620"/>
      <c r="N18" s="353"/>
      <c r="O18" s="353"/>
      <c r="P18" s="353"/>
      <c r="Q18" s="353"/>
      <c r="R18" s="353"/>
    </row>
    <row r="19" spans="1:18" ht="18" customHeight="1" thickBot="1" x14ac:dyDescent="0.25">
      <c r="A19" s="69"/>
      <c r="B19" s="70"/>
      <c r="C19" s="70"/>
      <c r="D19" s="70"/>
      <c r="E19" s="70"/>
      <c r="F19" s="70"/>
      <c r="G19" s="70"/>
      <c r="H19" s="70"/>
      <c r="I19" s="70"/>
      <c r="J19" s="70"/>
      <c r="K19" s="70"/>
      <c r="L19" s="70"/>
      <c r="M19" s="71"/>
    </row>
    <row r="20" spans="1:18" s="202" customFormat="1" ht="27.75" customHeight="1" thickTop="1" thickBot="1" x14ac:dyDescent="0.35">
      <c r="A20" s="623" t="s">
        <v>7</v>
      </c>
      <c r="B20" s="624"/>
      <c r="C20" s="624"/>
      <c r="D20" s="625"/>
      <c r="E20" s="74"/>
      <c r="F20" s="74"/>
      <c r="G20" s="74"/>
      <c r="H20" s="626" t="s">
        <v>7</v>
      </c>
      <c r="I20" s="624"/>
      <c r="J20" s="624"/>
      <c r="K20" s="624"/>
      <c r="L20" s="624"/>
      <c r="M20" s="627"/>
      <c r="N20" s="203"/>
      <c r="O20" s="203"/>
      <c r="P20" s="203"/>
      <c r="Q20" s="203"/>
      <c r="R20" s="203"/>
    </row>
    <row r="21" spans="1:18" s="204" customFormat="1" ht="22.5" customHeight="1" thickTop="1" thickBot="1" x14ac:dyDescent="0.35">
      <c r="A21" s="209"/>
      <c r="B21" s="210"/>
      <c r="C21" s="210"/>
      <c r="D21" s="210"/>
      <c r="E21" s="176"/>
      <c r="F21" s="176"/>
      <c r="G21" s="176"/>
      <c r="H21" s="210"/>
      <c r="I21" s="210"/>
      <c r="J21" s="210"/>
      <c r="K21" s="210"/>
      <c r="L21" s="210"/>
      <c r="M21" s="211"/>
      <c r="N21" s="205"/>
      <c r="O21" s="205"/>
      <c r="P21" s="205"/>
      <c r="Q21" s="205"/>
      <c r="R21" s="205"/>
    </row>
    <row r="22" spans="1:18" ht="15.75" x14ac:dyDescent="0.2">
      <c r="A22" s="78" t="s">
        <v>139</v>
      </c>
      <c r="B22" s="70"/>
      <c r="C22" s="70"/>
      <c r="D22" s="825" t="str">
        <f>'MA CLAIM FORM'!D22:G24</f>
        <v xml:space="preserve">Enter Operation NAME Here </v>
      </c>
      <c r="E22" s="826"/>
      <c r="F22" s="826"/>
      <c r="G22" s="827"/>
      <c r="H22" s="80"/>
      <c r="I22" s="80" t="s">
        <v>190</v>
      </c>
      <c r="J22" s="81" t="s">
        <v>96</v>
      </c>
      <c r="K22" s="351">
        <f>'MA CLAIM FORM'!K22</f>
        <v>0</v>
      </c>
      <c r="L22" s="81" t="s">
        <v>97</v>
      </c>
      <c r="M22" s="352">
        <f>'MA CLAIM FORM'!M22</f>
        <v>0</v>
      </c>
    </row>
    <row r="23" spans="1:18" ht="15.75" customHeight="1" x14ac:dyDescent="0.2">
      <c r="A23" s="69"/>
      <c r="B23" s="70"/>
      <c r="C23" s="70"/>
      <c r="D23" s="828"/>
      <c r="E23" s="829"/>
      <c r="F23" s="829"/>
      <c r="G23" s="830"/>
      <c r="H23" s="82"/>
      <c r="I23" s="82"/>
      <c r="J23" s="82"/>
      <c r="K23" s="82"/>
      <c r="L23" s="70"/>
      <c r="M23" s="84" t="s">
        <v>98</v>
      </c>
    </row>
    <row r="24" spans="1:18" ht="15.75" customHeight="1" thickBot="1" x14ac:dyDescent="0.25">
      <c r="A24" s="69"/>
      <c r="B24" s="70"/>
      <c r="C24" s="70"/>
      <c r="D24" s="831"/>
      <c r="E24" s="832"/>
      <c r="F24" s="832"/>
      <c r="G24" s="833"/>
      <c r="H24" s="82"/>
      <c r="I24" s="82"/>
      <c r="J24" s="82"/>
      <c r="K24" s="82"/>
      <c r="L24" s="70"/>
      <c r="M24" s="84"/>
    </row>
    <row r="25" spans="1:18" s="185" customFormat="1" ht="18" x14ac:dyDescent="0.25">
      <c r="A25" s="191" t="s">
        <v>137</v>
      </c>
      <c r="B25" s="192"/>
      <c r="C25" s="192"/>
      <c r="D25" s="192"/>
      <c r="E25" s="192"/>
      <c r="F25" s="192"/>
      <c r="G25" s="621" t="s">
        <v>138</v>
      </c>
      <c r="H25" s="621"/>
      <c r="I25" s="621"/>
      <c r="J25" s="621"/>
      <c r="K25" s="621"/>
      <c r="L25" s="621"/>
      <c r="M25" s="622"/>
      <c r="N25" s="181"/>
      <c r="O25" s="181"/>
      <c r="P25" s="181"/>
      <c r="Q25" s="181"/>
      <c r="R25" s="181"/>
    </row>
    <row r="26" spans="1:18" x14ac:dyDescent="0.2">
      <c r="A26" s="88"/>
      <c r="B26" s="70"/>
      <c r="C26" s="70"/>
      <c r="D26" s="70"/>
      <c r="E26" s="70"/>
      <c r="F26" s="70"/>
      <c r="G26" s="89"/>
      <c r="H26" s="89"/>
      <c r="I26" s="70"/>
      <c r="J26" s="70"/>
      <c r="K26" s="70"/>
      <c r="L26" s="70"/>
      <c r="M26" s="71"/>
    </row>
    <row r="27" spans="1:18" x14ac:dyDescent="0.2">
      <c r="A27" s="88" t="s">
        <v>99</v>
      </c>
      <c r="B27" s="70"/>
      <c r="C27" s="819">
        <f>'MA CLAIM FORM'!C27:E27</f>
        <v>0</v>
      </c>
      <c r="D27" s="820"/>
      <c r="E27" s="821"/>
      <c r="F27" s="70"/>
      <c r="G27" s="89" t="s">
        <v>99</v>
      </c>
      <c r="H27" s="89"/>
      <c r="I27" s="822">
        <f>'MA CLAIM FORM'!I27:M27</f>
        <v>0</v>
      </c>
      <c r="J27" s="823"/>
      <c r="K27" s="823"/>
      <c r="L27" s="823"/>
      <c r="M27" s="824"/>
    </row>
    <row r="28" spans="1:18" x14ac:dyDescent="0.2">
      <c r="A28" s="88"/>
      <c r="B28" s="70"/>
      <c r="C28" s="93"/>
      <c r="D28" s="93"/>
      <c r="E28" s="93"/>
      <c r="F28" s="70"/>
      <c r="G28" s="89"/>
      <c r="H28" s="89"/>
      <c r="I28" s="93"/>
      <c r="J28" s="93"/>
      <c r="K28" s="93"/>
      <c r="L28" s="93"/>
      <c r="M28" s="94"/>
    </row>
    <row r="29" spans="1:18" x14ac:dyDescent="0.2">
      <c r="A29" s="88" t="s">
        <v>100</v>
      </c>
      <c r="B29" s="70"/>
      <c r="C29" s="819">
        <f>'MA CLAIM FORM'!C29:E29</f>
        <v>0</v>
      </c>
      <c r="D29" s="820"/>
      <c r="E29" s="821"/>
      <c r="F29" s="70"/>
      <c r="G29" s="89" t="s">
        <v>100</v>
      </c>
      <c r="H29" s="89"/>
      <c r="I29" s="822">
        <f>'MA CLAIM FORM'!I29:M29</f>
        <v>0</v>
      </c>
      <c r="J29" s="823"/>
      <c r="K29" s="823"/>
      <c r="L29" s="823"/>
      <c r="M29" s="824"/>
    </row>
    <row r="30" spans="1:18" x14ac:dyDescent="0.2">
      <c r="A30" s="88"/>
      <c r="B30" s="70"/>
      <c r="C30" s="93"/>
      <c r="D30" s="93"/>
      <c r="E30" s="93"/>
      <c r="F30" s="70"/>
      <c r="G30" s="70"/>
      <c r="H30" s="70"/>
      <c r="I30" s="93"/>
      <c r="J30" s="93"/>
      <c r="K30" s="93"/>
      <c r="L30" s="93"/>
      <c r="M30" s="94"/>
    </row>
    <row r="31" spans="1:18" x14ac:dyDescent="0.2">
      <c r="A31" s="88" t="s">
        <v>136</v>
      </c>
      <c r="B31" s="70"/>
      <c r="C31" s="819">
        <f>'MA CLAIM FORM'!C31:E31</f>
        <v>0</v>
      </c>
      <c r="D31" s="820"/>
      <c r="E31" s="821"/>
      <c r="F31" s="70"/>
      <c r="G31" s="89" t="s">
        <v>136</v>
      </c>
      <c r="H31" s="89"/>
      <c r="I31" s="822">
        <f>'MA CLAIM FORM'!I31:M31</f>
        <v>0</v>
      </c>
      <c r="J31" s="823"/>
      <c r="K31" s="823"/>
      <c r="L31" s="823"/>
      <c r="M31" s="824"/>
    </row>
    <row r="32" spans="1:18" x14ac:dyDescent="0.2">
      <c r="A32" s="88"/>
      <c r="B32" s="70"/>
      <c r="C32" s="95"/>
      <c r="D32" s="95"/>
      <c r="E32" s="95"/>
      <c r="F32" s="75"/>
      <c r="G32" s="91"/>
      <c r="H32" s="91"/>
      <c r="I32" s="35"/>
      <c r="J32" s="35"/>
      <c r="K32" s="35"/>
      <c r="L32" s="35"/>
      <c r="M32" s="92"/>
    </row>
    <row r="33" spans="1:18" x14ac:dyDescent="0.2">
      <c r="A33" s="88" t="s">
        <v>179</v>
      </c>
      <c r="B33" s="70"/>
      <c r="C33" s="602"/>
      <c r="D33" s="603"/>
      <c r="E33" s="604"/>
      <c r="F33" s="75"/>
      <c r="G33" s="91"/>
      <c r="H33" s="91"/>
      <c r="I33" s="35"/>
      <c r="J33" s="35"/>
      <c r="K33" s="35"/>
      <c r="L33" s="35"/>
      <c r="M33" s="92"/>
    </row>
    <row r="34" spans="1:18" ht="15.75" thickBot="1" x14ac:dyDescent="0.25">
      <c r="A34" s="90"/>
      <c r="B34" s="79"/>
      <c r="C34" s="79"/>
      <c r="D34" s="79"/>
      <c r="E34" s="79"/>
      <c r="F34" s="79"/>
      <c r="G34" s="79"/>
      <c r="H34" s="79"/>
      <c r="I34" s="79"/>
      <c r="J34" s="79"/>
      <c r="K34" s="79"/>
      <c r="L34" s="79"/>
      <c r="M34" s="83"/>
    </row>
    <row r="35" spans="1:18" x14ac:dyDescent="0.2">
      <c r="A35" s="89"/>
      <c r="B35" s="70"/>
      <c r="C35" s="70"/>
      <c r="D35" s="70"/>
      <c r="E35" s="70"/>
      <c r="F35" s="70"/>
      <c r="G35" s="70"/>
      <c r="H35" s="70"/>
      <c r="I35" s="70"/>
      <c r="J35" s="70"/>
      <c r="K35" s="70"/>
      <c r="L35" s="70"/>
      <c r="M35" s="70"/>
    </row>
    <row r="36" spans="1:18" ht="15.75" thickBot="1" x14ac:dyDescent="0.25">
      <c r="A36" s="96"/>
      <c r="B36" s="73"/>
      <c r="C36" s="73"/>
      <c r="D36" s="73"/>
      <c r="E36" s="73"/>
      <c r="F36" s="73"/>
      <c r="G36" s="73"/>
      <c r="H36" s="73"/>
      <c r="I36" s="73"/>
      <c r="J36" s="73"/>
      <c r="K36" s="73"/>
      <c r="L36" s="73"/>
      <c r="M36" s="73"/>
    </row>
    <row r="37" spans="1:18" s="206" customFormat="1" ht="18.75" customHeight="1" x14ac:dyDescent="0.25">
      <c r="A37" s="644" t="s">
        <v>168</v>
      </c>
      <c r="B37" s="645"/>
      <c r="C37" s="645"/>
      <c r="D37" s="645"/>
      <c r="E37" s="645"/>
      <c r="F37" s="182"/>
      <c r="G37" s="182"/>
      <c r="H37" s="183"/>
      <c r="I37" s="183"/>
      <c r="J37" s="183"/>
      <c r="K37" s="183"/>
      <c r="L37" s="183"/>
      <c r="M37" s="184"/>
    </row>
    <row r="38" spans="1:18" ht="10.5" customHeight="1" x14ac:dyDescent="0.2">
      <c r="A38" s="97"/>
      <c r="B38" s="98"/>
      <c r="C38" s="98"/>
      <c r="D38" s="98"/>
      <c r="E38" s="98"/>
      <c r="F38" s="99"/>
      <c r="G38" s="99"/>
      <c r="H38" s="70"/>
      <c r="I38" s="70"/>
      <c r="J38" s="70"/>
      <c r="K38" s="70"/>
      <c r="L38" s="70"/>
      <c r="M38" s="71"/>
      <c r="N38" s="106"/>
      <c r="O38" s="106"/>
      <c r="P38" s="106"/>
      <c r="Q38" s="106"/>
    </row>
    <row r="39" spans="1:18" ht="15.75" x14ac:dyDescent="0.25">
      <c r="A39" s="100" t="s">
        <v>177</v>
      </c>
      <c r="B39" s="16"/>
      <c r="C39" s="16"/>
      <c r="D39" s="98" t="s">
        <v>178</v>
      </c>
      <c r="E39" s="13"/>
      <c r="F39" s="13"/>
      <c r="G39" s="99"/>
      <c r="H39" s="87" t="s">
        <v>176</v>
      </c>
      <c r="I39" s="70"/>
      <c r="J39" s="70"/>
      <c r="K39" s="70"/>
      <c r="L39" s="70"/>
      <c r="M39" s="71"/>
      <c r="N39" s="106"/>
      <c r="O39" s="106"/>
      <c r="P39" s="106"/>
      <c r="Q39" s="106"/>
    </row>
    <row r="40" spans="1:18" ht="15" customHeight="1" x14ac:dyDescent="0.2">
      <c r="A40" s="638" t="s">
        <v>132</v>
      </c>
      <c r="B40" s="639"/>
      <c r="C40" s="640"/>
      <c r="D40" s="655" t="str">
        <f>VLOOKUP($A$40,'Mutual aid grades definitions'!$A:$E,2,FALSE)</f>
        <v xml:space="preserve"> </v>
      </c>
      <c r="E40" s="656"/>
      <c r="F40" s="656"/>
      <c r="G40" s="24"/>
      <c r="H40" s="657" t="str">
        <f>VLOOKUP($A$40,'Mutual aid grades definitions'!$A:$E,3,FALSE)</f>
        <v xml:space="preserve"> </v>
      </c>
      <c r="I40" s="657"/>
      <c r="J40" s="657"/>
      <c r="K40" s="657"/>
      <c r="L40" s="657"/>
      <c r="M40" s="658"/>
      <c r="N40" s="354"/>
      <c r="O40" s="37"/>
      <c r="P40" s="354"/>
      <c r="Q40" s="354"/>
    </row>
    <row r="41" spans="1:18" ht="15" customHeight="1" x14ac:dyDescent="0.2">
      <c r="A41" s="101"/>
      <c r="B41" s="102"/>
      <c r="C41" s="102"/>
      <c r="D41" s="102"/>
      <c r="E41" s="17"/>
      <c r="F41" s="17"/>
      <c r="G41" s="17"/>
      <c r="H41" s="21"/>
      <c r="I41" s="20"/>
      <c r="J41" s="20"/>
      <c r="K41" s="20"/>
      <c r="L41" s="20"/>
      <c r="M41" s="23"/>
      <c r="N41" s="106"/>
      <c r="O41" s="106"/>
      <c r="P41" s="106"/>
      <c r="Q41" s="106"/>
    </row>
    <row r="42" spans="1:18" s="207" customFormat="1" ht="15.75" x14ac:dyDescent="0.25">
      <c r="A42" s="137" t="s">
        <v>171</v>
      </c>
      <c r="B42" s="134"/>
      <c r="C42" s="134"/>
      <c r="D42" s="134"/>
      <c r="E42" s="134"/>
      <c r="F42" s="134"/>
      <c r="G42" s="134"/>
      <c r="H42" s="87" t="s">
        <v>170</v>
      </c>
      <c r="I42" s="135"/>
      <c r="J42" s="135"/>
      <c r="K42" s="135"/>
      <c r="L42" s="135"/>
      <c r="M42" s="136"/>
      <c r="N42" s="106"/>
      <c r="O42" s="106"/>
      <c r="P42" s="106"/>
      <c r="Q42" s="106"/>
      <c r="R42" s="85"/>
    </row>
    <row r="43" spans="1:18" ht="15" customHeight="1" x14ac:dyDescent="0.2">
      <c r="A43" s="646" t="str">
        <f>VLOOKUP($A$40,'Mutual aid grades definitions'!$A:$E,4,FALSE)</f>
        <v xml:space="preserve"> </v>
      </c>
      <c r="B43" s="647"/>
      <c r="C43" s="647"/>
      <c r="D43" s="647"/>
      <c r="E43" s="647"/>
      <c r="F43" s="648"/>
      <c r="G43" s="103"/>
      <c r="H43" s="659" t="str">
        <f>VLOOKUP($A$40,'Mutual aid grades definitions'!$A:$E,5,FALSE)</f>
        <v xml:space="preserve"> </v>
      </c>
      <c r="I43" s="647"/>
      <c r="J43" s="647"/>
      <c r="K43" s="647"/>
      <c r="L43" s="647"/>
      <c r="M43" s="660"/>
    </row>
    <row r="44" spans="1:18" x14ac:dyDescent="0.2">
      <c r="A44" s="649"/>
      <c r="B44" s="650"/>
      <c r="C44" s="650"/>
      <c r="D44" s="650"/>
      <c r="E44" s="650"/>
      <c r="F44" s="651"/>
      <c r="G44" s="70"/>
      <c r="H44" s="661"/>
      <c r="I44" s="650"/>
      <c r="J44" s="650"/>
      <c r="K44" s="650"/>
      <c r="L44" s="650"/>
      <c r="M44" s="662"/>
    </row>
    <row r="45" spans="1:18" x14ac:dyDescent="0.2">
      <c r="A45" s="652"/>
      <c r="B45" s="653"/>
      <c r="C45" s="653"/>
      <c r="D45" s="653"/>
      <c r="E45" s="653"/>
      <c r="F45" s="654"/>
      <c r="G45" s="86"/>
      <c r="H45" s="663"/>
      <c r="I45" s="653"/>
      <c r="J45" s="653"/>
      <c r="K45" s="653"/>
      <c r="L45" s="653"/>
      <c r="M45" s="664"/>
    </row>
    <row r="46" spans="1:18" ht="15.75" thickBot="1" x14ac:dyDescent="0.25">
      <c r="A46" s="26"/>
      <c r="B46" s="27"/>
      <c r="C46" s="27"/>
      <c r="D46" s="27"/>
      <c r="E46" s="27"/>
      <c r="F46" s="27"/>
      <c r="G46" s="104"/>
      <c r="H46" s="27"/>
      <c r="I46" s="27"/>
      <c r="J46" s="27"/>
      <c r="K46" s="27"/>
      <c r="L46" s="27"/>
      <c r="M46" s="28"/>
    </row>
    <row r="47" spans="1:18" x14ac:dyDescent="0.2">
      <c r="A47" s="175"/>
      <c r="B47" s="18"/>
      <c r="C47" s="18"/>
      <c r="D47" s="18"/>
      <c r="E47" s="18"/>
      <c r="F47" s="18"/>
      <c r="G47" s="105"/>
      <c r="H47" s="18"/>
      <c r="I47" s="18"/>
      <c r="J47" s="18"/>
      <c r="K47" s="18"/>
      <c r="L47" s="18"/>
      <c r="M47" s="18"/>
    </row>
    <row r="48" spans="1:18" s="75" customFormat="1" ht="15.75" thickBot="1" x14ac:dyDescent="0.25">
      <c r="A48" s="27"/>
      <c r="B48" s="18"/>
      <c r="C48" s="18"/>
      <c r="D48" s="18"/>
      <c r="E48" s="18"/>
      <c r="F48" s="18"/>
      <c r="G48" s="105"/>
      <c r="H48" s="18"/>
      <c r="I48" s="18"/>
      <c r="J48" s="18"/>
      <c r="K48" s="18"/>
      <c r="L48" s="18"/>
      <c r="M48" s="18"/>
      <c r="N48" s="106"/>
      <c r="O48" s="106"/>
      <c r="P48" s="106"/>
      <c r="Q48" s="106"/>
      <c r="R48" s="106"/>
    </row>
    <row r="49" spans="1:18" s="181" customFormat="1" ht="18" x14ac:dyDescent="0.25">
      <c r="A49" s="644" t="s">
        <v>180</v>
      </c>
      <c r="B49" s="645"/>
      <c r="C49" s="645"/>
      <c r="D49" s="645"/>
      <c r="E49" s="645"/>
      <c r="F49" s="182"/>
      <c r="G49" s="182"/>
      <c r="H49" s="180"/>
      <c r="I49" s="180"/>
      <c r="J49" s="180"/>
      <c r="K49" s="180"/>
      <c r="L49" s="180"/>
      <c r="M49" s="186"/>
    </row>
    <row r="50" spans="1:18" ht="15.75" customHeight="1" x14ac:dyDescent="0.2">
      <c r="A50" s="696" t="s">
        <v>181</v>
      </c>
      <c r="B50" s="697"/>
      <c r="C50" s="697"/>
      <c r="D50" s="698"/>
      <c r="E50" s="19"/>
      <c r="F50" s="70"/>
      <c r="G50" s="633" t="str">
        <f>VLOOKUP(A50,'Mutual aid grades definitions'!A15:B17,2,FALSE)</f>
        <v xml:space="preserve"> </v>
      </c>
      <c r="H50" s="634"/>
      <c r="I50" s="634"/>
      <c r="J50" s="634"/>
      <c r="K50" s="634"/>
      <c r="L50" s="634"/>
      <c r="M50" s="635"/>
    </row>
    <row r="51" spans="1:18" ht="6.75" customHeight="1" x14ac:dyDescent="0.2">
      <c r="A51" s="22"/>
      <c r="B51" s="14"/>
      <c r="C51" s="15"/>
      <c r="D51" s="15"/>
      <c r="E51" s="15"/>
      <c r="F51" s="107"/>
      <c r="G51" s="108"/>
      <c r="H51" s="29"/>
      <c r="I51" s="30"/>
      <c r="J51" s="31"/>
      <c r="K51" s="31"/>
      <c r="L51" s="31"/>
      <c r="M51" s="33"/>
    </row>
    <row r="52" spans="1:18" ht="15.75" customHeight="1" x14ac:dyDescent="0.2">
      <c r="A52" s="696" t="s">
        <v>135</v>
      </c>
      <c r="B52" s="697"/>
      <c r="C52" s="697"/>
      <c r="D52" s="698"/>
      <c r="E52" s="19"/>
      <c r="F52" s="70"/>
      <c r="G52" s="633" t="str">
        <f>VLOOKUP(A$52,'Mutual aid grades definitions'!$A$15:$B$21,2,FALSE)</f>
        <v xml:space="preserve"> </v>
      </c>
      <c r="H52" s="634"/>
      <c r="I52" s="634"/>
      <c r="J52" s="634"/>
      <c r="K52" s="634"/>
      <c r="L52" s="634"/>
      <c r="M52" s="635"/>
    </row>
    <row r="53" spans="1:18" ht="28.5" customHeight="1" x14ac:dyDescent="0.2">
      <c r="A53" s="109"/>
      <c r="B53" s="110"/>
      <c r="C53" s="110"/>
      <c r="D53" s="110"/>
      <c r="E53" s="75"/>
      <c r="F53" s="75"/>
      <c r="G53" s="699" t="str">
        <f>VLOOKUP(A$52,'Mutual aid grades definitions'!$A$15:$C$21,3,FALSE)</f>
        <v xml:space="preserve"> </v>
      </c>
      <c r="H53" s="699"/>
      <c r="I53" s="699"/>
      <c r="J53" s="699"/>
      <c r="K53" s="699"/>
      <c r="L53" s="699"/>
      <c r="M53" s="700"/>
    </row>
    <row r="54" spans="1:18" ht="6.75" customHeight="1" thickBot="1" x14ac:dyDescent="0.25">
      <c r="A54" s="111"/>
      <c r="B54" s="79"/>
      <c r="C54" s="79"/>
      <c r="D54" s="79"/>
      <c r="E54" s="79"/>
      <c r="F54" s="79"/>
      <c r="G54" s="79"/>
      <c r="H54" s="79"/>
      <c r="I54" s="79"/>
      <c r="J54" s="79"/>
      <c r="K54" s="79"/>
      <c r="L54" s="79"/>
      <c r="M54" s="83"/>
    </row>
    <row r="55" spans="1:18" x14ac:dyDescent="0.2">
      <c r="A55" s="99"/>
      <c r="B55" s="70"/>
      <c r="C55" s="70"/>
      <c r="D55" s="70"/>
      <c r="E55" s="70"/>
      <c r="F55" s="70"/>
      <c r="G55" s="70"/>
      <c r="H55" s="70"/>
      <c r="I55" s="70"/>
      <c r="J55" s="70"/>
      <c r="K55" s="70"/>
      <c r="L55" s="70"/>
      <c r="M55" s="70"/>
    </row>
    <row r="56" spans="1:18" ht="15.75" thickBot="1" x14ac:dyDescent="0.25">
      <c r="A56" s="99"/>
      <c r="B56" s="70"/>
      <c r="C56" s="70"/>
      <c r="D56" s="70"/>
      <c r="E56" s="70"/>
      <c r="F56" s="70"/>
      <c r="G56" s="70"/>
      <c r="H56" s="70"/>
      <c r="I56" s="75"/>
      <c r="J56" s="70"/>
      <c r="K56" s="70"/>
      <c r="L56" s="70"/>
      <c r="M56" s="70"/>
    </row>
    <row r="57" spans="1:18" s="181" customFormat="1" ht="11.25" customHeight="1" x14ac:dyDescent="0.25">
      <c r="A57" s="702" t="s">
        <v>345</v>
      </c>
      <c r="B57" s="709"/>
      <c r="C57" s="709"/>
      <c r="D57" s="712" t="str">
        <f>'MA CLAIM FORM'!D57</f>
        <v>ONLY CLAIM HOURS IN EXCESS OF 8. FIRST 8 HOURS IS FUNDED BY HOME FORCE FOR UKFPU DEPLOYMENTS</v>
      </c>
      <c r="E57" s="713"/>
      <c r="F57" s="713"/>
      <c r="G57" s="713"/>
      <c r="H57" s="714"/>
      <c r="I57" s="187"/>
      <c r="J57" s="688" t="s">
        <v>346</v>
      </c>
      <c r="K57" s="689"/>
      <c r="L57" s="690"/>
      <c r="M57" s="691"/>
    </row>
    <row r="58" spans="1:18" s="181" customFormat="1" ht="16.5" customHeight="1" thickBot="1" x14ac:dyDescent="0.3">
      <c r="A58" s="710"/>
      <c r="B58" s="711"/>
      <c r="C58" s="711"/>
      <c r="D58" s="715"/>
      <c r="E58" s="715"/>
      <c r="F58" s="715"/>
      <c r="G58" s="715"/>
      <c r="H58" s="716"/>
      <c r="I58" s="187"/>
      <c r="J58" s="692"/>
      <c r="K58" s="693"/>
      <c r="L58" s="694"/>
      <c r="M58" s="695"/>
    </row>
    <row r="59" spans="1:18" s="119" customFormat="1" ht="44.25" customHeight="1" thickBot="1" x14ac:dyDescent="0.25">
      <c r="A59" s="116" t="s">
        <v>0</v>
      </c>
      <c r="B59" s="116" t="s">
        <v>1</v>
      </c>
      <c r="C59" s="116" t="s">
        <v>189</v>
      </c>
      <c r="D59" s="118" t="s">
        <v>3</v>
      </c>
      <c r="E59" s="413" t="s">
        <v>385</v>
      </c>
      <c r="F59" s="116" t="s">
        <v>2</v>
      </c>
      <c r="G59" s="116" t="s">
        <v>323</v>
      </c>
      <c r="H59" s="118" t="s">
        <v>4</v>
      </c>
      <c r="I59" s="123"/>
      <c r="J59" s="116" t="s">
        <v>192</v>
      </c>
      <c r="K59" s="124" t="s">
        <v>382</v>
      </c>
      <c r="L59" s="124" t="s">
        <v>265</v>
      </c>
      <c r="M59" s="125" t="s">
        <v>193</v>
      </c>
      <c r="N59" s="85"/>
      <c r="O59" s="127"/>
      <c r="P59" s="127"/>
      <c r="Q59" s="127"/>
      <c r="R59" s="127"/>
    </row>
    <row r="60" spans="1:18" ht="15.75" x14ac:dyDescent="0.2">
      <c r="A60" s="288"/>
      <c r="B60" s="289"/>
      <c r="C60" s="348" t="s">
        <v>191</v>
      </c>
      <c r="D60" s="344"/>
      <c r="E60" s="414" t="s">
        <v>132</v>
      </c>
      <c r="F60" s="276"/>
      <c r="G60" s="382"/>
      <c r="H60" s="277"/>
      <c r="I60" s="40"/>
      <c r="J60" s="360" t="str">
        <f>IF(F60="","",VLOOKUP(O60,Rates!B:D,3,FALSE))</f>
        <v/>
      </c>
      <c r="K60" s="406" t="str">
        <f>J60</f>
        <v/>
      </c>
      <c r="L60" s="403">
        <f>F60*G60*H60</f>
        <v>0</v>
      </c>
      <c r="M60" s="362" t="str">
        <f>IF(F60="","",IF(K60=J60,(J60*L60),(K60*L60)))</f>
        <v/>
      </c>
      <c r="O60" s="85" t="str">
        <f>CONCATENATE(E60&amp;C60)</f>
        <v>Choose Mutual Aid GradePlease Choose</v>
      </c>
    </row>
    <row r="61" spans="1:18" ht="15.75" x14ac:dyDescent="0.2">
      <c r="A61" s="288"/>
      <c r="B61" s="289"/>
      <c r="C61" s="348" t="s">
        <v>191</v>
      </c>
      <c r="D61" s="345"/>
      <c r="E61" s="414" t="str">
        <f>$A$40</f>
        <v>Choose Mutual Aid Grade</v>
      </c>
      <c r="F61" s="276"/>
      <c r="G61" s="382"/>
      <c r="H61" s="277"/>
      <c r="I61" s="41"/>
      <c r="J61" s="360" t="str">
        <f>IF(F61="","",VLOOKUP(O61,Rates!B:D,3,FALSE))</f>
        <v/>
      </c>
      <c r="K61" s="406" t="str">
        <f t="shared" ref="K61:K87" si="0">J61</f>
        <v/>
      </c>
      <c r="L61" s="404">
        <f t="shared" ref="L61:L87" si="1">F61*G61*H61</f>
        <v>0</v>
      </c>
      <c r="M61" s="362" t="str">
        <f t="shared" ref="M61:M87" si="2">IF(F61="","",IF(K61=J61,(J61*L61),(K61*L61)))</f>
        <v/>
      </c>
      <c r="O61" s="85" t="str">
        <f t="shared" ref="O61:O87" si="3">CONCATENATE(E61&amp;C61)</f>
        <v>Choose Mutual Aid GradePlease Choose</v>
      </c>
    </row>
    <row r="62" spans="1:18" ht="15.75" x14ac:dyDescent="0.2">
      <c r="A62" s="288"/>
      <c r="B62" s="289"/>
      <c r="C62" s="348" t="s">
        <v>191</v>
      </c>
      <c r="D62" s="343"/>
      <c r="E62" s="414" t="str">
        <f t="shared" ref="E62:E86" si="4">$A$40</f>
        <v>Choose Mutual Aid Grade</v>
      </c>
      <c r="F62" s="276"/>
      <c r="G62" s="382"/>
      <c r="H62" s="277"/>
      <c r="I62" s="41"/>
      <c r="J62" s="360" t="str">
        <f>IF(F62="","",VLOOKUP(O62,Rates!B:D,3,FALSE))</f>
        <v/>
      </c>
      <c r="K62" s="406" t="str">
        <f t="shared" si="0"/>
        <v/>
      </c>
      <c r="L62" s="404">
        <f t="shared" si="1"/>
        <v>0</v>
      </c>
      <c r="M62" s="362" t="str">
        <f t="shared" si="2"/>
        <v/>
      </c>
      <c r="O62" s="85" t="str">
        <f t="shared" si="3"/>
        <v>Choose Mutual Aid GradePlease Choose</v>
      </c>
    </row>
    <row r="63" spans="1:18" ht="15.75" x14ac:dyDescent="0.2">
      <c r="A63" s="288"/>
      <c r="B63" s="289"/>
      <c r="C63" s="348" t="s">
        <v>191</v>
      </c>
      <c r="D63" s="343"/>
      <c r="E63" s="414" t="str">
        <f t="shared" si="4"/>
        <v>Choose Mutual Aid Grade</v>
      </c>
      <c r="F63" s="276"/>
      <c r="G63" s="382"/>
      <c r="H63" s="277"/>
      <c r="I63" s="41"/>
      <c r="J63" s="360" t="str">
        <f>IF(F63="","",VLOOKUP(O63,Rates!B:D,3,FALSE))</f>
        <v/>
      </c>
      <c r="K63" s="406" t="str">
        <f t="shared" si="0"/>
        <v/>
      </c>
      <c r="L63" s="404">
        <f t="shared" si="1"/>
        <v>0</v>
      </c>
      <c r="M63" s="362" t="str">
        <f t="shared" si="2"/>
        <v/>
      </c>
      <c r="O63" s="85" t="str">
        <f t="shared" si="3"/>
        <v>Choose Mutual Aid GradePlease Choose</v>
      </c>
    </row>
    <row r="64" spans="1:18" ht="15.75" x14ac:dyDescent="0.2">
      <c r="A64" s="288"/>
      <c r="B64" s="289"/>
      <c r="C64" s="348" t="s">
        <v>191</v>
      </c>
      <c r="D64" s="343"/>
      <c r="E64" s="414" t="str">
        <f t="shared" si="4"/>
        <v>Choose Mutual Aid Grade</v>
      </c>
      <c r="F64" s="276"/>
      <c r="G64" s="382"/>
      <c r="H64" s="277"/>
      <c r="I64" s="41"/>
      <c r="J64" s="360" t="str">
        <f>IF(F64="","",VLOOKUP(O64,Rates!B:D,3,FALSE))</f>
        <v/>
      </c>
      <c r="K64" s="406" t="str">
        <f t="shared" si="0"/>
        <v/>
      </c>
      <c r="L64" s="404">
        <f t="shared" si="1"/>
        <v>0</v>
      </c>
      <c r="M64" s="362" t="str">
        <f t="shared" si="2"/>
        <v/>
      </c>
      <c r="O64" s="85" t="str">
        <f t="shared" si="3"/>
        <v>Choose Mutual Aid GradePlease Choose</v>
      </c>
    </row>
    <row r="65" spans="1:15" ht="15.75" x14ac:dyDescent="0.2">
      <c r="A65" s="288"/>
      <c r="B65" s="289"/>
      <c r="C65" s="348" t="s">
        <v>191</v>
      </c>
      <c r="D65" s="343"/>
      <c r="E65" s="414" t="str">
        <f t="shared" si="4"/>
        <v>Choose Mutual Aid Grade</v>
      </c>
      <c r="F65" s="276"/>
      <c r="G65" s="382"/>
      <c r="H65" s="277"/>
      <c r="I65" s="41"/>
      <c r="J65" s="360" t="str">
        <f>IF(F65="","",VLOOKUP(O65,Rates!B:D,3,FALSE))</f>
        <v/>
      </c>
      <c r="K65" s="406" t="str">
        <f t="shared" si="0"/>
        <v/>
      </c>
      <c r="L65" s="404">
        <f t="shared" si="1"/>
        <v>0</v>
      </c>
      <c r="M65" s="362" t="str">
        <f t="shared" si="2"/>
        <v/>
      </c>
      <c r="O65" s="85" t="str">
        <f t="shared" si="3"/>
        <v>Choose Mutual Aid GradePlease Choose</v>
      </c>
    </row>
    <row r="66" spans="1:15" ht="15.75" x14ac:dyDescent="0.2">
      <c r="A66" s="288"/>
      <c r="B66" s="289"/>
      <c r="C66" s="348" t="s">
        <v>191</v>
      </c>
      <c r="D66" s="343"/>
      <c r="E66" s="414" t="str">
        <f t="shared" si="4"/>
        <v>Choose Mutual Aid Grade</v>
      </c>
      <c r="F66" s="276"/>
      <c r="G66" s="382"/>
      <c r="H66" s="277"/>
      <c r="I66" s="41"/>
      <c r="J66" s="360" t="str">
        <f>IF(F66="","",VLOOKUP(O66,Rates!B:D,3,FALSE))</f>
        <v/>
      </c>
      <c r="K66" s="406" t="str">
        <f t="shared" si="0"/>
        <v/>
      </c>
      <c r="L66" s="404">
        <f t="shared" si="1"/>
        <v>0</v>
      </c>
      <c r="M66" s="362" t="str">
        <f t="shared" si="2"/>
        <v/>
      </c>
      <c r="O66" s="85" t="str">
        <f t="shared" si="3"/>
        <v>Choose Mutual Aid GradePlease Choose</v>
      </c>
    </row>
    <row r="67" spans="1:15" ht="15.75" x14ac:dyDescent="0.2">
      <c r="A67" s="288"/>
      <c r="B67" s="289"/>
      <c r="C67" s="348" t="s">
        <v>191</v>
      </c>
      <c r="D67" s="343"/>
      <c r="E67" s="414" t="str">
        <f t="shared" si="4"/>
        <v>Choose Mutual Aid Grade</v>
      </c>
      <c r="F67" s="276"/>
      <c r="G67" s="382"/>
      <c r="H67" s="277"/>
      <c r="I67" s="41"/>
      <c r="J67" s="360" t="str">
        <f>IF(F67="","",VLOOKUP(O67,Rates!B:D,3,FALSE))</f>
        <v/>
      </c>
      <c r="K67" s="406" t="str">
        <f t="shared" si="0"/>
        <v/>
      </c>
      <c r="L67" s="404">
        <f t="shared" si="1"/>
        <v>0</v>
      </c>
      <c r="M67" s="362" t="str">
        <f t="shared" si="2"/>
        <v/>
      </c>
      <c r="O67" s="85" t="str">
        <f t="shared" si="3"/>
        <v>Choose Mutual Aid GradePlease Choose</v>
      </c>
    </row>
    <row r="68" spans="1:15" ht="15.75" x14ac:dyDescent="0.2">
      <c r="A68" s="288"/>
      <c r="B68" s="289"/>
      <c r="C68" s="348" t="s">
        <v>191</v>
      </c>
      <c r="D68" s="343"/>
      <c r="E68" s="414" t="str">
        <f t="shared" si="4"/>
        <v>Choose Mutual Aid Grade</v>
      </c>
      <c r="F68" s="276"/>
      <c r="G68" s="382"/>
      <c r="H68" s="277"/>
      <c r="I68" s="41"/>
      <c r="J68" s="360" t="str">
        <f>IF(F68="","",VLOOKUP(O68,Rates!B:D,3,FALSE))</f>
        <v/>
      </c>
      <c r="K68" s="406" t="str">
        <f t="shared" si="0"/>
        <v/>
      </c>
      <c r="L68" s="404">
        <f t="shared" si="1"/>
        <v>0</v>
      </c>
      <c r="M68" s="362" t="str">
        <f t="shared" si="2"/>
        <v/>
      </c>
      <c r="O68" s="85" t="str">
        <f t="shared" si="3"/>
        <v>Choose Mutual Aid GradePlease Choose</v>
      </c>
    </row>
    <row r="69" spans="1:15" ht="15.75" x14ac:dyDescent="0.2">
      <c r="A69" s="288"/>
      <c r="B69" s="289"/>
      <c r="C69" s="348" t="s">
        <v>191</v>
      </c>
      <c r="D69" s="343"/>
      <c r="E69" s="414" t="str">
        <f t="shared" si="4"/>
        <v>Choose Mutual Aid Grade</v>
      </c>
      <c r="F69" s="276"/>
      <c r="G69" s="382"/>
      <c r="H69" s="277"/>
      <c r="I69" s="41"/>
      <c r="J69" s="360" t="str">
        <f>IF(F69="","",VLOOKUP(O69,Rates!B:D,3,FALSE))</f>
        <v/>
      </c>
      <c r="K69" s="406" t="str">
        <f t="shared" si="0"/>
        <v/>
      </c>
      <c r="L69" s="404">
        <f t="shared" si="1"/>
        <v>0</v>
      </c>
      <c r="M69" s="362" t="str">
        <f t="shared" si="2"/>
        <v/>
      </c>
      <c r="O69" s="85" t="str">
        <f t="shared" si="3"/>
        <v>Choose Mutual Aid GradePlease Choose</v>
      </c>
    </row>
    <row r="70" spans="1:15" ht="15.75" x14ac:dyDescent="0.2">
      <c r="A70" s="288"/>
      <c r="B70" s="289"/>
      <c r="C70" s="348" t="s">
        <v>191</v>
      </c>
      <c r="D70" s="343"/>
      <c r="E70" s="414" t="str">
        <f t="shared" si="4"/>
        <v>Choose Mutual Aid Grade</v>
      </c>
      <c r="F70" s="276"/>
      <c r="G70" s="382"/>
      <c r="H70" s="277"/>
      <c r="I70" s="41"/>
      <c r="J70" s="360" t="str">
        <f>IF(F70="","",VLOOKUP(O70,Rates!B:D,3,FALSE))</f>
        <v/>
      </c>
      <c r="K70" s="406" t="str">
        <f t="shared" si="0"/>
        <v/>
      </c>
      <c r="L70" s="404">
        <f t="shared" si="1"/>
        <v>0</v>
      </c>
      <c r="M70" s="362" t="str">
        <f t="shared" si="2"/>
        <v/>
      </c>
      <c r="O70" s="85" t="str">
        <f t="shared" si="3"/>
        <v>Choose Mutual Aid GradePlease Choose</v>
      </c>
    </row>
    <row r="71" spans="1:15" ht="15.75" x14ac:dyDescent="0.2">
      <c r="A71" s="288"/>
      <c r="B71" s="289"/>
      <c r="C71" s="348" t="s">
        <v>191</v>
      </c>
      <c r="D71" s="343"/>
      <c r="E71" s="414" t="str">
        <f t="shared" si="4"/>
        <v>Choose Mutual Aid Grade</v>
      </c>
      <c r="F71" s="276"/>
      <c r="G71" s="382"/>
      <c r="H71" s="277"/>
      <c r="I71" s="41"/>
      <c r="J71" s="360" t="str">
        <f>IF(F71="","",VLOOKUP(O71,Rates!B:D,3,FALSE))</f>
        <v/>
      </c>
      <c r="K71" s="406" t="str">
        <f t="shared" si="0"/>
        <v/>
      </c>
      <c r="L71" s="404">
        <f t="shared" si="1"/>
        <v>0</v>
      </c>
      <c r="M71" s="362" t="str">
        <f t="shared" si="2"/>
        <v/>
      </c>
      <c r="O71" s="85" t="str">
        <f t="shared" si="3"/>
        <v>Choose Mutual Aid GradePlease Choose</v>
      </c>
    </row>
    <row r="72" spans="1:15" ht="15.75" x14ac:dyDescent="0.2">
      <c r="A72" s="288"/>
      <c r="B72" s="289"/>
      <c r="C72" s="348" t="s">
        <v>191</v>
      </c>
      <c r="D72" s="343"/>
      <c r="E72" s="414" t="str">
        <f t="shared" si="4"/>
        <v>Choose Mutual Aid Grade</v>
      </c>
      <c r="F72" s="276"/>
      <c r="G72" s="382"/>
      <c r="H72" s="277"/>
      <c r="I72" s="41"/>
      <c r="J72" s="360" t="str">
        <f>IF(F72="","",VLOOKUP(O72,Rates!B:D,3,FALSE))</f>
        <v/>
      </c>
      <c r="K72" s="406" t="str">
        <f t="shared" si="0"/>
        <v/>
      </c>
      <c r="L72" s="404">
        <f t="shared" si="1"/>
        <v>0</v>
      </c>
      <c r="M72" s="362" t="str">
        <f t="shared" si="2"/>
        <v/>
      </c>
      <c r="O72" s="85" t="str">
        <f t="shared" si="3"/>
        <v>Choose Mutual Aid GradePlease Choose</v>
      </c>
    </row>
    <row r="73" spans="1:15" ht="15.75" x14ac:dyDescent="0.2">
      <c r="A73" s="288"/>
      <c r="B73" s="289"/>
      <c r="C73" s="348" t="s">
        <v>191</v>
      </c>
      <c r="D73" s="343"/>
      <c r="E73" s="414" t="str">
        <f t="shared" si="4"/>
        <v>Choose Mutual Aid Grade</v>
      </c>
      <c r="F73" s="276"/>
      <c r="G73" s="382"/>
      <c r="H73" s="277"/>
      <c r="I73" s="41"/>
      <c r="J73" s="360" t="str">
        <f>IF(F73="","",VLOOKUP(O73,Rates!B:D,3,FALSE))</f>
        <v/>
      </c>
      <c r="K73" s="406" t="str">
        <f t="shared" si="0"/>
        <v/>
      </c>
      <c r="L73" s="404">
        <f t="shared" si="1"/>
        <v>0</v>
      </c>
      <c r="M73" s="362" t="str">
        <f t="shared" si="2"/>
        <v/>
      </c>
      <c r="O73" s="85" t="str">
        <f t="shared" si="3"/>
        <v>Choose Mutual Aid GradePlease Choose</v>
      </c>
    </row>
    <row r="74" spans="1:15" ht="15.75" x14ac:dyDescent="0.2">
      <c r="A74" s="288"/>
      <c r="B74" s="289"/>
      <c r="C74" s="348" t="s">
        <v>191</v>
      </c>
      <c r="D74" s="343"/>
      <c r="E74" s="414" t="str">
        <f t="shared" si="4"/>
        <v>Choose Mutual Aid Grade</v>
      </c>
      <c r="F74" s="276"/>
      <c r="G74" s="382"/>
      <c r="H74" s="277"/>
      <c r="I74" s="41"/>
      <c r="J74" s="360" t="str">
        <f>IF(F74="","",VLOOKUP(O74,Rates!B:D,3,FALSE))</f>
        <v/>
      </c>
      <c r="K74" s="406" t="str">
        <f t="shared" si="0"/>
        <v/>
      </c>
      <c r="L74" s="404">
        <f t="shared" si="1"/>
        <v>0</v>
      </c>
      <c r="M74" s="362" t="str">
        <f t="shared" si="2"/>
        <v/>
      </c>
      <c r="O74" s="85" t="str">
        <f t="shared" si="3"/>
        <v>Choose Mutual Aid GradePlease Choose</v>
      </c>
    </row>
    <row r="75" spans="1:15" ht="15.75" x14ac:dyDescent="0.2">
      <c r="A75" s="288"/>
      <c r="B75" s="289"/>
      <c r="C75" s="348" t="s">
        <v>191</v>
      </c>
      <c r="D75" s="343"/>
      <c r="E75" s="414" t="str">
        <f t="shared" si="4"/>
        <v>Choose Mutual Aid Grade</v>
      </c>
      <c r="F75" s="276"/>
      <c r="G75" s="382"/>
      <c r="H75" s="277"/>
      <c r="I75" s="41"/>
      <c r="J75" s="360" t="str">
        <f>IF(F75="","",VLOOKUP(O75,Rates!B:D,3,FALSE))</f>
        <v/>
      </c>
      <c r="K75" s="406" t="str">
        <f t="shared" si="0"/>
        <v/>
      </c>
      <c r="L75" s="404">
        <f t="shared" si="1"/>
        <v>0</v>
      </c>
      <c r="M75" s="362" t="str">
        <f t="shared" si="2"/>
        <v/>
      </c>
      <c r="O75" s="85" t="str">
        <f t="shared" si="3"/>
        <v>Choose Mutual Aid GradePlease Choose</v>
      </c>
    </row>
    <row r="76" spans="1:15" ht="15.75" x14ac:dyDescent="0.2">
      <c r="A76" s="288"/>
      <c r="B76" s="289"/>
      <c r="C76" s="348" t="s">
        <v>191</v>
      </c>
      <c r="D76" s="343"/>
      <c r="E76" s="414" t="str">
        <f t="shared" si="4"/>
        <v>Choose Mutual Aid Grade</v>
      </c>
      <c r="F76" s="276"/>
      <c r="G76" s="382"/>
      <c r="H76" s="277"/>
      <c r="I76" s="41"/>
      <c r="J76" s="360" t="str">
        <f>IF(F76="","",VLOOKUP(O76,Rates!B:D,3,FALSE))</f>
        <v/>
      </c>
      <c r="K76" s="406" t="str">
        <f t="shared" si="0"/>
        <v/>
      </c>
      <c r="L76" s="404">
        <f t="shared" si="1"/>
        <v>0</v>
      </c>
      <c r="M76" s="362" t="str">
        <f t="shared" si="2"/>
        <v/>
      </c>
      <c r="O76" s="85" t="str">
        <f t="shared" si="3"/>
        <v>Choose Mutual Aid GradePlease Choose</v>
      </c>
    </row>
    <row r="77" spans="1:15" ht="15.75" x14ac:dyDescent="0.2">
      <c r="A77" s="288"/>
      <c r="B77" s="289"/>
      <c r="C77" s="348" t="s">
        <v>191</v>
      </c>
      <c r="D77" s="343"/>
      <c r="E77" s="414" t="str">
        <f t="shared" si="4"/>
        <v>Choose Mutual Aid Grade</v>
      </c>
      <c r="F77" s="276"/>
      <c r="G77" s="382"/>
      <c r="H77" s="277"/>
      <c r="I77" s="41"/>
      <c r="J77" s="360" t="str">
        <f>IF(F77="","",VLOOKUP(O77,Rates!B:D,3,FALSE))</f>
        <v/>
      </c>
      <c r="K77" s="406" t="str">
        <f t="shared" si="0"/>
        <v/>
      </c>
      <c r="L77" s="404">
        <f t="shared" si="1"/>
        <v>0</v>
      </c>
      <c r="M77" s="362" t="str">
        <f t="shared" si="2"/>
        <v/>
      </c>
      <c r="O77" s="85" t="str">
        <f t="shared" si="3"/>
        <v>Choose Mutual Aid GradePlease Choose</v>
      </c>
    </row>
    <row r="78" spans="1:15" ht="15.75" x14ac:dyDescent="0.2">
      <c r="A78" s="288"/>
      <c r="B78" s="289"/>
      <c r="C78" s="348" t="s">
        <v>191</v>
      </c>
      <c r="D78" s="343"/>
      <c r="E78" s="414" t="str">
        <f t="shared" si="4"/>
        <v>Choose Mutual Aid Grade</v>
      </c>
      <c r="F78" s="276"/>
      <c r="G78" s="382"/>
      <c r="H78" s="277"/>
      <c r="I78" s="41"/>
      <c r="J78" s="360" t="str">
        <f>IF(F78="","",VLOOKUP(O78,Rates!B:D,3,FALSE))</f>
        <v/>
      </c>
      <c r="K78" s="406" t="str">
        <f t="shared" si="0"/>
        <v/>
      </c>
      <c r="L78" s="404">
        <f t="shared" si="1"/>
        <v>0</v>
      </c>
      <c r="M78" s="362" t="str">
        <f t="shared" si="2"/>
        <v/>
      </c>
      <c r="O78" s="85" t="str">
        <f t="shared" si="3"/>
        <v>Choose Mutual Aid GradePlease Choose</v>
      </c>
    </row>
    <row r="79" spans="1:15" ht="15.75" x14ac:dyDescent="0.2">
      <c r="A79" s="288"/>
      <c r="B79" s="289"/>
      <c r="C79" s="348" t="s">
        <v>191</v>
      </c>
      <c r="D79" s="343"/>
      <c r="E79" s="414" t="str">
        <f t="shared" si="4"/>
        <v>Choose Mutual Aid Grade</v>
      </c>
      <c r="F79" s="276"/>
      <c r="G79" s="382"/>
      <c r="H79" s="277"/>
      <c r="I79" s="41"/>
      <c r="J79" s="360" t="str">
        <f>IF(F79="","",VLOOKUP(O79,Rates!B:D,3,FALSE))</f>
        <v/>
      </c>
      <c r="K79" s="406" t="str">
        <f t="shared" si="0"/>
        <v/>
      </c>
      <c r="L79" s="404">
        <f t="shared" si="1"/>
        <v>0</v>
      </c>
      <c r="M79" s="362" t="str">
        <f t="shared" si="2"/>
        <v/>
      </c>
      <c r="O79" s="85" t="str">
        <f t="shared" si="3"/>
        <v>Choose Mutual Aid GradePlease Choose</v>
      </c>
    </row>
    <row r="80" spans="1:15" ht="15.75" x14ac:dyDescent="0.2">
      <c r="A80" s="288"/>
      <c r="B80" s="289"/>
      <c r="C80" s="348" t="s">
        <v>191</v>
      </c>
      <c r="D80" s="343"/>
      <c r="E80" s="414" t="str">
        <f t="shared" si="4"/>
        <v>Choose Mutual Aid Grade</v>
      </c>
      <c r="F80" s="276"/>
      <c r="G80" s="382"/>
      <c r="H80" s="277"/>
      <c r="I80" s="41"/>
      <c r="J80" s="360" t="str">
        <f>IF(F80="","",VLOOKUP(O80,Rates!B:D,3,FALSE))</f>
        <v/>
      </c>
      <c r="K80" s="406" t="str">
        <f t="shared" si="0"/>
        <v/>
      </c>
      <c r="L80" s="404">
        <f t="shared" si="1"/>
        <v>0</v>
      </c>
      <c r="M80" s="362" t="str">
        <f t="shared" si="2"/>
        <v/>
      </c>
      <c r="O80" s="85" t="str">
        <f t="shared" si="3"/>
        <v>Choose Mutual Aid GradePlease Choose</v>
      </c>
    </row>
    <row r="81" spans="1:18" ht="15.75" x14ac:dyDescent="0.2">
      <c r="A81" s="288"/>
      <c r="B81" s="289"/>
      <c r="C81" s="348" t="s">
        <v>191</v>
      </c>
      <c r="D81" s="343"/>
      <c r="E81" s="414" t="str">
        <f t="shared" si="4"/>
        <v>Choose Mutual Aid Grade</v>
      </c>
      <c r="F81" s="276"/>
      <c r="G81" s="382"/>
      <c r="H81" s="277"/>
      <c r="I81" s="41"/>
      <c r="J81" s="360" t="str">
        <f>IF(F81="","",VLOOKUP(O81,Rates!B:D,3,FALSE))</f>
        <v/>
      </c>
      <c r="K81" s="406" t="str">
        <f t="shared" si="0"/>
        <v/>
      </c>
      <c r="L81" s="404">
        <f t="shared" si="1"/>
        <v>0</v>
      </c>
      <c r="M81" s="362" t="str">
        <f t="shared" si="2"/>
        <v/>
      </c>
      <c r="O81" s="85" t="str">
        <f t="shared" si="3"/>
        <v>Choose Mutual Aid GradePlease Choose</v>
      </c>
    </row>
    <row r="82" spans="1:18" ht="15.75" x14ac:dyDescent="0.2">
      <c r="A82" s="288"/>
      <c r="B82" s="289"/>
      <c r="C82" s="348" t="s">
        <v>191</v>
      </c>
      <c r="D82" s="343"/>
      <c r="E82" s="414" t="str">
        <f t="shared" si="4"/>
        <v>Choose Mutual Aid Grade</v>
      </c>
      <c r="F82" s="276"/>
      <c r="G82" s="382"/>
      <c r="H82" s="277"/>
      <c r="I82" s="41"/>
      <c r="J82" s="360" t="str">
        <f>IF(F82="","",VLOOKUP(O82,Rates!B:D,3,FALSE))</f>
        <v/>
      </c>
      <c r="K82" s="406" t="str">
        <f t="shared" si="0"/>
        <v/>
      </c>
      <c r="L82" s="404">
        <f t="shared" si="1"/>
        <v>0</v>
      </c>
      <c r="M82" s="362" t="str">
        <f t="shared" si="2"/>
        <v/>
      </c>
      <c r="O82" s="85" t="str">
        <f t="shared" si="3"/>
        <v>Choose Mutual Aid GradePlease Choose</v>
      </c>
    </row>
    <row r="83" spans="1:18" ht="15.75" x14ac:dyDescent="0.2">
      <c r="A83" s="288"/>
      <c r="B83" s="289"/>
      <c r="C83" s="348" t="s">
        <v>191</v>
      </c>
      <c r="D83" s="343"/>
      <c r="E83" s="414" t="str">
        <f t="shared" si="4"/>
        <v>Choose Mutual Aid Grade</v>
      </c>
      <c r="F83" s="276"/>
      <c r="G83" s="382"/>
      <c r="H83" s="277"/>
      <c r="I83" s="41"/>
      <c r="J83" s="360" t="str">
        <f>IF(F83="","",VLOOKUP(O83,Rates!B:D,3,FALSE))</f>
        <v/>
      </c>
      <c r="K83" s="406" t="str">
        <f t="shared" si="0"/>
        <v/>
      </c>
      <c r="L83" s="404">
        <f t="shared" si="1"/>
        <v>0</v>
      </c>
      <c r="M83" s="362" t="str">
        <f t="shared" si="2"/>
        <v/>
      </c>
      <c r="O83" s="85" t="str">
        <f t="shared" si="3"/>
        <v>Choose Mutual Aid GradePlease Choose</v>
      </c>
    </row>
    <row r="84" spans="1:18" ht="15.75" x14ac:dyDescent="0.2">
      <c r="A84" s="288"/>
      <c r="B84" s="289"/>
      <c r="C84" s="348" t="s">
        <v>191</v>
      </c>
      <c r="D84" s="343"/>
      <c r="E84" s="414" t="str">
        <f t="shared" si="4"/>
        <v>Choose Mutual Aid Grade</v>
      </c>
      <c r="F84" s="276"/>
      <c r="G84" s="382"/>
      <c r="H84" s="277"/>
      <c r="I84" s="41"/>
      <c r="J84" s="360" t="str">
        <f>IF(F84="","",VLOOKUP(O84,Rates!B:D,3,FALSE))</f>
        <v/>
      </c>
      <c r="K84" s="406" t="str">
        <f t="shared" si="0"/>
        <v/>
      </c>
      <c r="L84" s="404">
        <f t="shared" si="1"/>
        <v>0</v>
      </c>
      <c r="M84" s="362" t="str">
        <f t="shared" si="2"/>
        <v/>
      </c>
      <c r="O84" s="85" t="str">
        <f t="shared" si="3"/>
        <v>Choose Mutual Aid GradePlease Choose</v>
      </c>
    </row>
    <row r="85" spans="1:18" ht="15.75" x14ac:dyDescent="0.2">
      <c r="A85" s="288"/>
      <c r="B85" s="289"/>
      <c r="C85" s="348" t="s">
        <v>191</v>
      </c>
      <c r="D85" s="343"/>
      <c r="E85" s="414" t="str">
        <f t="shared" si="4"/>
        <v>Choose Mutual Aid Grade</v>
      </c>
      <c r="F85" s="276"/>
      <c r="G85" s="382"/>
      <c r="H85" s="277"/>
      <c r="I85" s="41"/>
      <c r="J85" s="360" t="str">
        <f>IF(F85="","",VLOOKUP(O85,Rates!B:D,3,FALSE))</f>
        <v/>
      </c>
      <c r="K85" s="406" t="str">
        <f t="shared" si="0"/>
        <v/>
      </c>
      <c r="L85" s="404">
        <f t="shared" si="1"/>
        <v>0</v>
      </c>
      <c r="M85" s="362" t="str">
        <f t="shared" si="2"/>
        <v/>
      </c>
      <c r="O85" s="85" t="str">
        <f t="shared" si="3"/>
        <v>Choose Mutual Aid GradePlease Choose</v>
      </c>
    </row>
    <row r="86" spans="1:18" ht="15.75" x14ac:dyDescent="0.2">
      <c r="A86" s="288"/>
      <c r="B86" s="289"/>
      <c r="C86" s="348" t="s">
        <v>191</v>
      </c>
      <c r="D86" s="343"/>
      <c r="E86" s="414" t="str">
        <f t="shared" si="4"/>
        <v>Choose Mutual Aid Grade</v>
      </c>
      <c r="F86" s="276"/>
      <c r="G86" s="382"/>
      <c r="H86" s="277"/>
      <c r="I86" s="41"/>
      <c r="J86" s="360" t="str">
        <f>IF(F86="","",VLOOKUP(O86,Rates!B:D,3,FALSE))</f>
        <v/>
      </c>
      <c r="K86" s="406" t="str">
        <f t="shared" si="0"/>
        <v/>
      </c>
      <c r="L86" s="404">
        <f t="shared" si="1"/>
        <v>0</v>
      </c>
      <c r="M86" s="362" t="str">
        <f t="shared" si="2"/>
        <v/>
      </c>
      <c r="O86" s="85" t="str">
        <f t="shared" si="3"/>
        <v>Choose Mutual Aid GradePlease Choose</v>
      </c>
    </row>
    <row r="87" spans="1:18" ht="16.5" thickBot="1" x14ac:dyDescent="0.25">
      <c r="A87" s="310"/>
      <c r="B87" s="291"/>
      <c r="C87" s="349" t="s">
        <v>191</v>
      </c>
      <c r="D87" s="346"/>
      <c r="E87" s="415" t="str">
        <f>$A$40</f>
        <v>Choose Mutual Aid Grade</v>
      </c>
      <c r="F87" s="278"/>
      <c r="G87" s="383"/>
      <c r="H87" s="279"/>
      <c r="I87" s="64"/>
      <c r="J87" s="361" t="str">
        <f>IF(F87="","",VLOOKUP(O87,Rates!B:D,3,FALSE))</f>
        <v/>
      </c>
      <c r="K87" s="406" t="str">
        <f t="shared" si="0"/>
        <v/>
      </c>
      <c r="L87" s="405">
        <f t="shared" si="1"/>
        <v>0</v>
      </c>
      <c r="M87" s="363" t="str">
        <f t="shared" si="2"/>
        <v/>
      </c>
      <c r="O87" s="85" t="str">
        <f t="shared" si="3"/>
        <v>Choose Mutual Aid GradePlease Choose</v>
      </c>
    </row>
    <row r="88" spans="1:18" ht="27" customHeight="1" thickBot="1" x14ac:dyDescent="0.25">
      <c r="A88" s="41"/>
      <c r="B88" s="41"/>
      <c r="C88" s="41"/>
      <c r="D88" s="41"/>
      <c r="E88" s="41"/>
      <c r="F88" s="41"/>
      <c r="G88" s="41"/>
      <c r="H88" s="41"/>
      <c r="I88" s="64"/>
      <c r="J88" s="293"/>
      <c r="K88" s="817" t="s">
        <v>320</v>
      </c>
      <c r="L88" s="818"/>
      <c r="M88" s="364">
        <f>SUM(M60:M87)</f>
        <v>0</v>
      </c>
      <c r="O88" s="106"/>
    </row>
    <row r="89" spans="1:18" ht="16.5" thickBot="1" x14ac:dyDescent="0.3">
      <c r="A89" s="39"/>
      <c r="B89" s="39"/>
      <c r="C89" s="38"/>
      <c r="D89" s="39"/>
      <c r="E89" s="39"/>
      <c r="F89" s="42"/>
      <c r="G89" s="42"/>
      <c r="H89" s="43"/>
      <c r="I89" s="64"/>
      <c r="J89" s="141"/>
      <c r="K89" s="142"/>
      <c r="L89" s="143"/>
      <c r="M89" s="144"/>
      <c r="O89" s="106"/>
    </row>
    <row r="90" spans="1:18" s="181" customFormat="1" ht="15" customHeight="1" x14ac:dyDescent="0.25">
      <c r="A90" s="725" t="s">
        <v>357</v>
      </c>
      <c r="B90" s="726"/>
      <c r="C90" s="726"/>
      <c r="D90" s="726"/>
      <c r="E90" s="726"/>
      <c r="F90" s="726"/>
      <c r="G90" s="726"/>
      <c r="H90" s="727"/>
      <c r="I90" s="188"/>
      <c r="J90" s="667" t="s">
        <v>358</v>
      </c>
      <c r="K90" s="668"/>
      <c r="L90" s="668"/>
      <c r="M90" s="669"/>
      <c r="O90" s="187"/>
    </row>
    <row r="91" spans="1:18" s="181" customFormat="1" ht="15.75" customHeight="1" thickBot="1" x14ac:dyDescent="0.3">
      <c r="A91" s="728"/>
      <c r="B91" s="729"/>
      <c r="C91" s="729"/>
      <c r="D91" s="729"/>
      <c r="E91" s="729"/>
      <c r="F91" s="729"/>
      <c r="G91" s="729"/>
      <c r="H91" s="730"/>
      <c r="I91" s="188"/>
      <c r="J91" s="670"/>
      <c r="K91" s="671"/>
      <c r="L91" s="671"/>
      <c r="M91" s="672"/>
      <c r="O91" s="187"/>
    </row>
    <row r="92" spans="1:18" s="208" customFormat="1" ht="44.25" customHeight="1" thickBot="1" x14ac:dyDescent="0.25">
      <c r="A92" s="121" t="s">
        <v>0</v>
      </c>
      <c r="B92" s="121" t="s">
        <v>1</v>
      </c>
      <c r="C92" s="122" t="s">
        <v>232</v>
      </c>
      <c r="D92" s="122" t="s">
        <v>223</v>
      </c>
      <c r="E92" s="122" t="s">
        <v>204</v>
      </c>
      <c r="F92" s="122" t="s">
        <v>203</v>
      </c>
      <c r="G92" s="122" t="s">
        <v>227</v>
      </c>
      <c r="H92" s="122" t="s">
        <v>318</v>
      </c>
      <c r="I92" s="115"/>
      <c r="J92" s="394" t="s">
        <v>228</v>
      </c>
      <c r="K92" s="394" t="s">
        <v>229</v>
      </c>
      <c r="L92" s="395" t="s">
        <v>230</v>
      </c>
      <c r="M92" s="396" t="s">
        <v>325</v>
      </c>
      <c r="N92" s="355"/>
      <c r="O92" s="356"/>
      <c r="P92" s="355"/>
      <c r="Q92" s="355"/>
      <c r="R92" s="355"/>
    </row>
    <row r="93" spans="1:18" ht="15.75" x14ac:dyDescent="0.2">
      <c r="A93" s="294"/>
      <c r="B93" s="289"/>
      <c r="C93" s="290" t="s">
        <v>191</v>
      </c>
      <c r="D93" s="295"/>
      <c r="E93" s="280"/>
      <c r="F93" s="280"/>
      <c r="G93" s="389" t="str">
        <f>IF(C93="please Choose"," ",VLOOKUP(C93,Equipment!$A$42:$B$48,2,FALSE))</f>
        <v xml:space="preserve"> </v>
      </c>
      <c r="H93" s="358"/>
      <c r="I93" s="64"/>
      <c r="J93" s="373" t="str">
        <f>IF($C93="Basic Overnight",(E93*F93*G93),IF($C93="Enhanced Overnight/Hardship",(E93*F93*VLOOKUP("Basic Overnight",Equipment!$A$42:$B$48,2,FALSE)),""))</f>
        <v/>
      </c>
      <c r="K93" s="391" t="str">
        <f>IF($C93="Hardship Only",(E93*F93*G93),IF($C93="Enhanced Overnight/Hardship",(E93*F93*VLOOKUP("Hardship Only",Equipment!$A$42:$B$48,2,FALSE)),""))</f>
        <v/>
      </c>
      <c r="L93" s="301" t="str">
        <f>IF($H93="","",(E93*H93))</f>
        <v/>
      </c>
      <c r="M93" s="397" t="str">
        <f>IF(F93="","",(SUM(J93:L93)*1.138))</f>
        <v/>
      </c>
      <c r="O93" s="357"/>
    </row>
    <row r="94" spans="1:18" ht="15.75" x14ac:dyDescent="0.2">
      <c r="A94" s="296"/>
      <c r="B94" s="297"/>
      <c r="C94" s="290" t="s">
        <v>191</v>
      </c>
      <c r="D94" s="297"/>
      <c r="E94" s="281"/>
      <c r="F94" s="281"/>
      <c r="G94" s="389" t="str">
        <f>IF(C94="please Choose"," ",VLOOKUP(C94,Equipment!$A$42:$B$48,2,FALSE))</f>
        <v xml:space="preserve"> </v>
      </c>
      <c r="H94" s="358"/>
      <c r="I94" s="64"/>
      <c r="J94" s="360" t="str">
        <f>IF($C94="Basic Overnight",(E94*F94*G94),IF($C94="Enhanced Overnight/Hardship",(E94*F94*VLOOKUP("Basic Overnight",Equipment!$A$42:$B$48,2,FALSE)),""))</f>
        <v/>
      </c>
      <c r="K94" s="392" t="str">
        <f>IF($C94="Hardship Only",(E94*F94*G94),IF($C94="Enhanced Overnight/Hardship",(E94*F94*VLOOKUP("Hardship Only",Equipment!$A$42:$B$48,2,FALSE)),""))</f>
        <v/>
      </c>
      <c r="L94" s="302" t="str">
        <f t="shared" ref="L94:L101" si="5">IF($H94="","",(E94*H94))</f>
        <v/>
      </c>
      <c r="M94" s="398" t="str">
        <f t="shared" ref="M94:M101" si="6">IF(F94="","",(SUM(J94:L94)*1.138))</f>
        <v/>
      </c>
      <c r="O94" s="357"/>
    </row>
    <row r="95" spans="1:18" ht="15.75" x14ac:dyDescent="0.2">
      <c r="A95" s="296"/>
      <c r="B95" s="297"/>
      <c r="C95" s="290" t="s">
        <v>191</v>
      </c>
      <c r="D95" s="297"/>
      <c r="E95" s="281"/>
      <c r="F95" s="281"/>
      <c r="G95" s="389" t="str">
        <f>IF(C95="please Choose"," ",VLOOKUP(C95,Equipment!$A$42:$B$48,2,FALSE))</f>
        <v xml:space="preserve"> </v>
      </c>
      <c r="H95" s="358"/>
      <c r="I95" s="64"/>
      <c r="J95" s="360" t="str">
        <f>IF($C95="Basic Overnight",(E95*F95*G95),IF($C95="Enhanced Overnight/Hardship",(E95*F95*VLOOKUP("Basic Overnight",Equipment!$A$42:$B$48,2,FALSE)),""))</f>
        <v/>
      </c>
      <c r="K95" s="392" t="str">
        <f>IF($C95="Hardship Only",(E95*F95*G95),IF($C95="Enhanced Overnight/Hardship",(E95*F95*VLOOKUP("Hardship Only",Equipment!$A$42:$B$48,2,FALSE)),""))</f>
        <v/>
      </c>
      <c r="L95" s="302" t="str">
        <f t="shared" si="5"/>
        <v/>
      </c>
      <c r="M95" s="398" t="str">
        <f t="shared" si="6"/>
        <v/>
      </c>
      <c r="O95" s="357"/>
    </row>
    <row r="96" spans="1:18" ht="15.75" x14ac:dyDescent="0.2">
      <c r="A96" s="296"/>
      <c r="B96" s="297"/>
      <c r="C96" s="290" t="s">
        <v>191</v>
      </c>
      <c r="D96" s="297"/>
      <c r="E96" s="281"/>
      <c r="F96" s="281"/>
      <c r="G96" s="389" t="str">
        <f>IF(C96="please Choose"," ",VLOOKUP(C96,Equipment!$A$42:$B$48,2,FALSE))</f>
        <v xml:space="preserve"> </v>
      </c>
      <c r="H96" s="358"/>
      <c r="I96" s="64"/>
      <c r="J96" s="360" t="str">
        <f>IF($C96="Basic Overnight",(E96*F96*G96),IF($C96="Enhanced Overnight/Hardship",(E96*F96*VLOOKUP("Basic Overnight",Equipment!$A$42:$B$48,2,FALSE)),""))</f>
        <v/>
      </c>
      <c r="K96" s="392" t="str">
        <f>IF($C96="Hardship Only",(E96*F96*G96),IF($C96="Enhanced Overnight/Hardship",(E96*F96*VLOOKUP("Hardship Only",Equipment!$A$42:$B$48,2,FALSE)),""))</f>
        <v/>
      </c>
      <c r="L96" s="302" t="str">
        <f t="shared" si="5"/>
        <v/>
      </c>
      <c r="M96" s="398" t="str">
        <f t="shared" si="6"/>
        <v/>
      </c>
      <c r="O96" s="357"/>
    </row>
    <row r="97" spans="1:18" ht="15.75" x14ac:dyDescent="0.2">
      <c r="A97" s="296"/>
      <c r="B97" s="297"/>
      <c r="C97" s="290" t="s">
        <v>191</v>
      </c>
      <c r="D97" s="297"/>
      <c r="E97" s="281"/>
      <c r="F97" s="281"/>
      <c r="G97" s="389" t="str">
        <f>IF(C97="please Choose"," ",VLOOKUP(C97,Equipment!$A$42:$B$48,2,FALSE))</f>
        <v xml:space="preserve"> </v>
      </c>
      <c r="H97" s="358"/>
      <c r="I97" s="64"/>
      <c r="J97" s="360" t="str">
        <f>IF($C97="Basic Overnight",(E97*F97*G97),IF($C97="Enhanced Overnight/Hardship",(E97*F97*VLOOKUP("Basic Overnight",Equipment!$A$42:$B$48,2,FALSE)),""))</f>
        <v/>
      </c>
      <c r="K97" s="392" t="str">
        <f>IF($C97="Hardship Only",(E97*F97*G97),IF($C97="Enhanced Overnight/Hardship",(E97*F97*VLOOKUP("Hardship Only",Equipment!$A$42:$B$48,2,FALSE)),""))</f>
        <v/>
      </c>
      <c r="L97" s="302" t="str">
        <f t="shared" si="5"/>
        <v/>
      </c>
      <c r="M97" s="398" t="str">
        <f t="shared" si="6"/>
        <v/>
      </c>
      <c r="O97" s="357"/>
    </row>
    <row r="98" spans="1:18" ht="15.75" x14ac:dyDescent="0.2">
      <c r="A98" s="296"/>
      <c r="B98" s="297"/>
      <c r="C98" s="290" t="s">
        <v>191</v>
      </c>
      <c r="D98" s="297"/>
      <c r="E98" s="281"/>
      <c r="F98" s="281"/>
      <c r="G98" s="389" t="str">
        <f>IF(C98="please Choose"," ",VLOOKUP(C98,Equipment!$A$42:$B$48,2,FALSE))</f>
        <v xml:space="preserve"> </v>
      </c>
      <c r="H98" s="358"/>
      <c r="I98" s="64"/>
      <c r="J98" s="360" t="str">
        <f>IF($C98="Basic Overnight",(E98*F98*G98),IF($C98="Enhanced Overnight/Hardship",(E98*F98*VLOOKUP("Basic Overnight",Equipment!$A$42:$B$48,2,FALSE)),""))</f>
        <v/>
      </c>
      <c r="K98" s="392" t="str">
        <f>IF($C98="Hardship Only",(E98*F98*G98),IF($C98="Enhanced Overnight/Hardship",(E98*F98*VLOOKUP("Hardship Only",Equipment!$A$42:$B$48,2,FALSE)),""))</f>
        <v/>
      </c>
      <c r="L98" s="302" t="str">
        <f t="shared" si="5"/>
        <v/>
      </c>
      <c r="M98" s="398" t="str">
        <f t="shared" si="6"/>
        <v/>
      </c>
      <c r="O98" s="357"/>
    </row>
    <row r="99" spans="1:18" ht="15.75" x14ac:dyDescent="0.2">
      <c r="A99" s="296"/>
      <c r="B99" s="297"/>
      <c r="C99" s="290" t="s">
        <v>191</v>
      </c>
      <c r="D99" s="297"/>
      <c r="E99" s="281"/>
      <c r="F99" s="281"/>
      <c r="G99" s="389" t="str">
        <f>IF(C99="please Choose"," ",VLOOKUP(C99,Equipment!$A$42:$B$48,2,FALSE))</f>
        <v xml:space="preserve"> </v>
      </c>
      <c r="H99" s="358"/>
      <c r="I99" s="64"/>
      <c r="J99" s="360" t="str">
        <f>IF($C99="Basic Overnight",(E99*F99*G99),IF($C99="Enhanced Overnight/Hardship",(E99*F99*VLOOKUP("Basic Overnight",Equipment!$A$42:$B$48,2,FALSE)),""))</f>
        <v/>
      </c>
      <c r="K99" s="392" t="str">
        <f>IF($C99="Hardship Only",(E99*F99*G99),IF($C99="Enhanced Overnight/Hardship",(E99*F99*VLOOKUP("Hardship Only",Equipment!$A$42:$B$48,2,FALSE)),""))</f>
        <v/>
      </c>
      <c r="L99" s="302" t="str">
        <f t="shared" si="5"/>
        <v/>
      </c>
      <c r="M99" s="398" t="str">
        <f t="shared" si="6"/>
        <v/>
      </c>
      <c r="O99" s="357"/>
    </row>
    <row r="100" spans="1:18" ht="15.75" x14ac:dyDescent="0.2">
      <c r="A100" s="298"/>
      <c r="B100" s="297"/>
      <c r="C100" s="290" t="s">
        <v>191</v>
      </c>
      <c r="D100" s="297"/>
      <c r="E100" s="281"/>
      <c r="F100" s="281"/>
      <c r="G100" s="389" t="str">
        <f>IF(C100="please Choose"," ",VLOOKUP(C100,Equipment!$A$42:$B$48,2,FALSE))</f>
        <v xml:space="preserve"> </v>
      </c>
      <c r="H100" s="358"/>
      <c r="I100" s="64"/>
      <c r="J100" s="360" t="str">
        <f>IF($C100="Basic Overnight",(E100*F100*G100),IF($C100="Enhanced Overnight/Hardship",(E100*F100*VLOOKUP("Basic Overnight",Equipment!$A$42:$B$48,2,FALSE)),""))</f>
        <v/>
      </c>
      <c r="K100" s="392" t="str">
        <f>IF($C100="Hardship Only",(E100*F100*G100),IF($C100="Enhanced Overnight/Hardship",(E100*F100*VLOOKUP("Hardship Only",Equipment!$A$42:$B$48,2,FALSE)),""))</f>
        <v/>
      </c>
      <c r="L100" s="302" t="str">
        <f t="shared" si="5"/>
        <v/>
      </c>
      <c r="M100" s="398" t="str">
        <f t="shared" si="6"/>
        <v/>
      </c>
      <c r="O100" s="357"/>
    </row>
    <row r="101" spans="1:18" ht="16.5" thickBot="1" x14ac:dyDescent="0.25">
      <c r="A101" s="299"/>
      <c r="B101" s="300"/>
      <c r="C101" s="292" t="s">
        <v>191</v>
      </c>
      <c r="D101" s="300"/>
      <c r="E101" s="282"/>
      <c r="F101" s="282"/>
      <c r="G101" s="390" t="str">
        <f>IF(C101="please Choose"," ",VLOOKUP(C101,Equipment!$A$42:$B$48,2,FALSE))</f>
        <v xml:space="preserve"> </v>
      </c>
      <c r="H101" s="359"/>
      <c r="I101" s="64"/>
      <c r="J101" s="361" t="str">
        <f>IF($C101="Basic Overnight",(E101*F101*G101),IF($C101="Enhanced Overnight/Hardship",(E101*F101*VLOOKUP("Basic Overnight",Equipment!$A$42:$B$48,2,FALSE)),""))</f>
        <v/>
      </c>
      <c r="K101" s="393" t="str">
        <f>IF($C101="Hardship Only",(E101*F101*G101),IF($C101="Enhanced Overnight/Hardship",(E101*F101*VLOOKUP("Hardship Only",Equipment!$A$42:$B$48,2,FALSE)),""))</f>
        <v/>
      </c>
      <c r="L101" s="303" t="str">
        <f t="shared" si="5"/>
        <v/>
      </c>
      <c r="M101" s="399" t="str">
        <f t="shared" si="6"/>
        <v/>
      </c>
      <c r="O101" s="357"/>
    </row>
    <row r="102" spans="1:18" ht="33.75" customHeight="1" thickBot="1" x14ac:dyDescent="0.25">
      <c r="A102" s="112"/>
      <c r="B102" s="112"/>
      <c r="C102" s="113"/>
      <c r="D102" s="112"/>
      <c r="E102" s="112"/>
      <c r="F102" s="112"/>
      <c r="G102" s="112"/>
      <c r="H102" s="112"/>
      <c r="I102" s="114"/>
      <c r="J102" s="304"/>
      <c r="K102" s="811" t="s">
        <v>347</v>
      </c>
      <c r="L102" s="812"/>
      <c r="M102" s="365">
        <f>SUM(M93:M101)</f>
        <v>0</v>
      </c>
      <c r="O102" s="357"/>
    </row>
    <row r="103" spans="1:18" ht="15" customHeight="1" x14ac:dyDescent="0.2">
      <c r="A103" s="201"/>
      <c r="B103" s="665" t="str">
        <f>IF(C93="Inspectors Bonus","Any Inspector bonus/allowances for deployments such as Mutual Aid are considered by the NPCC outside the remit of the National Guidelines on Charging for Police Services: Mutual Aid Cost Recovery and not reclaimable from a recipient of the Mutual Aid."," ")</f>
        <v xml:space="preserve"> </v>
      </c>
      <c r="C103" s="665"/>
      <c r="D103" s="665"/>
      <c r="E103" s="665"/>
      <c r="F103" s="665"/>
      <c r="G103" s="665"/>
      <c r="H103" s="665"/>
      <c r="I103" s="114"/>
      <c r="J103" s="149"/>
      <c r="K103" s="149"/>
      <c r="L103" s="149"/>
      <c r="M103" s="149"/>
      <c r="O103" s="357"/>
    </row>
    <row r="104" spans="1:18" ht="15.75" thickBot="1" x14ac:dyDescent="0.25">
      <c r="A104" s="201"/>
      <c r="B104" s="666"/>
      <c r="C104" s="666"/>
      <c r="D104" s="666"/>
      <c r="E104" s="666"/>
      <c r="F104" s="666"/>
      <c r="G104" s="666"/>
      <c r="H104" s="666"/>
      <c r="I104" s="114"/>
      <c r="J104" s="149"/>
      <c r="K104" s="149"/>
      <c r="L104" s="149"/>
      <c r="M104" s="149"/>
      <c r="O104" s="357"/>
    </row>
    <row r="105" spans="1:18" s="181" customFormat="1" ht="15" customHeight="1" x14ac:dyDescent="0.25">
      <c r="A105" s="702" t="s">
        <v>355</v>
      </c>
      <c r="B105" s="703"/>
      <c r="C105" s="703"/>
      <c r="D105" s="703"/>
      <c r="E105" s="703"/>
      <c r="F105" s="703"/>
      <c r="G105" s="703"/>
      <c r="H105" s="704"/>
      <c r="I105" s="188"/>
      <c r="J105" s="667" t="s">
        <v>356</v>
      </c>
      <c r="K105" s="668"/>
      <c r="L105" s="668"/>
      <c r="M105" s="669"/>
    </row>
    <row r="106" spans="1:18" s="181" customFormat="1" ht="15.75" customHeight="1" thickBot="1" x14ac:dyDescent="0.3">
      <c r="A106" s="705"/>
      <c r="B106" s="706"/>
      <c r="C106" s="706"/>
      <c r="D106" s="706"/>
      <c r="E106" s="706"/>
      <c r="F106" s="706"/>
      <c r="G106" s="706"/>
      <c r="H106" s="707"/>
      <c r="I106" s="188"/>
      <c r="J106" s="670"/>
      <c r="K106" s="671"/>
      <c r="L106" s="671"/>
      <c r="M106" s="672"/>
    </row>
    <row r="107" spans="1:18" s="119" customFormat="1" ht="44.25" customHeight="1" thickBot="1" x14ac:dyDescent="0.25">
      <c r="A107" s="128" t="s">
        <v>0</v>
      </c>
      <c r="B107" s="128" t="s">
        <v>1</v>
      </c>
      <c r="C107" s="126" t="s">
        <v>260</v>
      </c>
      <c r="D107" s="675" t="s">
        <v>223</v>
      </c>
      <c r="E107" s="676"/>
      <c r="F107" s="126" t="s">
        <v>240</v>
      </c>
      <c r="G107" s="126" t="s">
        <v>241</v>
      </c>
      <c r="H107" s="126" t="s">
        <v>242</v>
      </c>
      <c r="I107" s="115"/>
      <c r="J107" s="145" t="s">
        <v>279</v>
      </c>
      <c r="K107" s="631"/>
      <c r="L107" s="632"/>
      <c r="M107" s="147" t="s">
        <v>231</v>
      </c>
      <c r="N107" s="127"/>
      <c r="O107" s="127"/>
      <c r="P107" s="127"/>
      <c r="Q107" s="127"/>
      <c r="R107" s="127"/>
    </row>
    <row r="108" spans="1:18" ht="15.75" x14ac:dyDescent="0.2">
      <c r="A108" s="294"/>
      <c r="B108" s="295"/>
      <c r="C108" s="305" t="s">
        <v>239</v>
      </c>
      <c r="D108" s="306"/>
      <c r="E108" s="307"/>
      <c r="F108" s="283"/>
      <c r="G108" s="283"/>
      <c r="H108" s="386"/>
      <c r="I108" s="64"/>
      <c r="J108" s="374" t="str">
        <f>IF($C108="Specialist equipment",(F108*G108*H108),"")</f>
        <v/>
      </c>
      <c r="K108" s="313"/>
      <c r="L108" s="314"/>
      <c r="M108" s="362" t="str">
        <f>IF(F108="","",(SUM(J108)))</f>
        <v/>
      </c>
    </row>
    <row r="109" spans="1:18" ht="15.75" x14ac:dyDescent="0.2">
      <c r="A109" s="296"/>
      <c r="B109" s="297"/>
      <c r="C109" s="305" t="s">
        <v>239</v>
      </c>
      <c r="D109" s="377"/>
      <c r="E109" s="380"/>
      <c r="F109" s="271"/>
      <c r="G109" s="271"/>
      <c r="H109" s="387"/>
      <c r="I109" s="64"/>
      <c r="J109" s="375" t="str">
        <f t="shared" ref="J109:J110" si="7">IF($C109="Specialist equipment",(F109*G109*H109),"")</f>
        <v/>
      </c>
      <c r="K109" s="315"/>
      <c r="L109" s="316"/>
      <c r="M109" s="362" t="str">
        <f t="shared" ref="M109:M110" si="8">IF(F109="","",(SUM(J109)))</f>
        <v/>
      </c>
    </row>
    <row r="110" spans="1:18" ht="16.5" thickBot="1" x14ac:dyDescent="0.25">
      <c r="A110" s="310"/>
      <c r="B110" s="300"/>
      <c r="C110" s="292" t="s">
        <v>239</v>
      </c>
      <c r="D110" s="379"/>
      <c r="E110" s="381"/>
      <c r="F110" s="272"/>
      <c r="G110" s="272"/>
      <c r="H110" s="388"/>
      <c r="I110" s="64"/>
      <c r="J110" s="376" t="str">
        <f t="shared" si="7"/>
        <v/>
      </c>
      <c r="K110" s="317"/>
      <c r="L110" s="318"/>
      <c r="M110" s="362" t="str">
        <f t="shared" si="8"/>
        <v/>
      </c>
    </row>
    <row r="111" spans="1:18" ht="18.75" customHeight="1" thickBot="1" x14ac:dyDescent="0.25">
      <c r="A111" s="66"/>
      <c r="B111" s="63"/>
      <c r="C111" s="63"/>
      <c r="D111" s="63"/>
      <c r="E111" s="63"/>
      <c r="F111" s="63"/>
      <c r="G111" s="63"/>
      <c r="H111" s="63"/>
      <c r="I111" s="64"/>
      <c r="J111" s="304"/>
      <c r="K111" s="813" t="s">
        <v>354</v>
      </c>
      <c r="L111" s="814"/>
      <c r="M111" s="364">
        <f>SUM(M108:M110)</f>
        <v>0</v>
      </c>
    </row>
    <row r="112" spans="1:18" ht="27.75" customHeight="1" x14ac:dyDescent="0.25">
      <c r="A112" s="201" t="s">
        <v>223</v>
      </c>
      <c r="B112" s="708" t="s">
        <v>243</v>
      </c>
      <c r="C112" s="708"/>
      <c r="D112" s="708"/>
      <c r="E112" s="708"/>
      <c r="F112" s="708"/>
      <c r="G112" s="708"/>
      <c r="H112" s="708"/>
      <c r="I112" s="378"/>
      <c r="J112" s="158"/>
      <c r="K112" s="152"/>
      <c r="L112" s="153"/>
      <c r="M112" s="159"/>
    </row>
    <row r="113" spans="1:18" s="75" customFormat="1" ht="3.75" customHeight="1" x14ac:dyDescent="0.25">
      <c r="A113" s="66"/>
      <c r="B113" s="63"/>
      <c r="C113" s="63"/>
      <c r="D113" s="63"/>
      <c r="E113" s="63"/>
      <c r="F113" s="63"/>
      <c r="G113" s="63"/>
      <c r="H113" s="63"/>
      <c r="I113" s="63"/>
      <c r="J113" s="160"/>
      <c r="K113" s="152"/>
      <c r="L113" s="153"/>
      <c r="M113" s="159"/>
      <c r="N113" s="106"/>
      <c r="O113" s="106"/>
      <c r="P113" s="106"/>
      <c r="Q113" s="106"/>
      <c r="R113" s="106"/>
    </row>
    <row r="114" spans="1:18" ht="15.75" thickBot="1" x14ac:dyDescent="0.25">
      <c r="A114" s="73"/>
      <c r="B114" s="73"/>
      <c r="C114" s="73"/>
      <c r="D114" s="73"/>
      <c r="E114" s="73"/>
      <c r="F114" s="73"/>
      <c r="G114" s="73"/>
      <c r="H114" s="73"/>
      <c r="I114" s="114"/>
      <c r="J114" s="150"/>
      <c r="K114" s="150"/>
      <c r="L114" s="150"/>
      <c r="M114" s="150"/>
      <c r="O114" s="357"/>
    </row>
    <row r="115" spans="1:18" s="181" customFormat="1" ht="15" customHeight="1" x14ac:dyDescent="0.25">
      <c r="A115" s="702" t="s">
        <v>391</v>
      </c>
      <c r="B115" s="703"/>
      <c r="C115" s="703"/>
      <c r="D115" s="703"/>
      <c r="E115" s="703"/>
      <c r="F115" s="703"/>
      <c r="G115" s="703"/>
      <c r="H115" s="704"/>
      <c r="I115" s="189"/>
      <c r="J115" s="667" t="s">
        <v>353</v>
      </c>
      <c r="K115" s="668"/>
      <c r="L115" s="668"/>
      <c r="M115" s="669"/>
      <c r="O115" s="190"/>
    </row>
    <row r="116" spans="1:18" s="181" customFormat="1" ht="15.75" customHeight="1" thickBot="1" x14ac:dyDescent="0.3">
      <c r="A116" s="705"/>
      <c r="B116" s="706"/>
      <c r="C116" s="706"/>
      <c r="D116" s="706"/>
      <c r="E116" s="706"/>
      <c r="F116" s="706"/>
      <c r="G116" s="706"/>
      <c r="H116" s="707"/>
      <c r="I116" s="189"/>
      <c r="J116" s="670"/>
      <c r="K116" s="671"/>
      <c r="L116" s="671"/>
      <c r="M116" s="672"/>
      <c r="O116" s="187"/>
    </row>
    <row r="117" spans="1:18" s="119" customFormat="1" ht="44.25" customHeight="1" thickBot="1" x14ac:dyDescent="0.25">
      <c r="A117" s="116" t="s">
        <v>0</v>
      </c>
      <c r="B117" s="116" t="s">
        <v>1</v>
      </c>
      <c r="C117" s="116" t="s">
        <v>233</v>
      </c>
      <c r="D117" s="116" t="s">
        <v>223</v>
      </c>
      <c r="E117" s="116" t="s">
        <v>4</v>
      </c>
      <c r="F117" s="116" t="s">
        <v>200</v>
      </c>
      <c r="G117" s="116" t="s">
        <v>199</v>
      </c>
      <c r="H117" s="118" t="s">
        <v>196</v>
      </c>
      <c r="I117" s="117"/>
      <c r="J117" s="151" t="s">
        <v>197</v>
      </c>
      <c r="K117" s="151" t="s">
        <v>221</v>
      </c>
      <c r="L117" s="151" t="s">
        <v>222</v>
      </c>
      <c r="M117" s="165" t="s">
        <v>198</v>
      </c>
      <c r="N117" s="127"/>
      <c r="O117" s="120"/>
      <c r="P117" s="127"/>
      <c r="Q117" s="127"/>
      <c r="R117" s="127"/>
    </row>
    <row r="118" spans="1:18" ht="15.75" x14ac:dyDescent="0.2">
      <c r="A118" s="296"/>
      <c r="B118" s="297"/>
      <c r="C118" s="290" t="s">
        <v>191</v>
      </c>
      <c r="D118" s="297"/>
      <c r="E118" s="276"/>
      <c r="F118" s="284"/>
      <c r="G118" s="285"/>
      <c r="H118" s="319" t="str">
        <f>IF(F118="","",VLOOKUP($C118,Equipment!$A$21:$D$30,2,FALSE))</f>
        <v/>
      </c>
      <c r="I118" s="320"/>
      <c r="J118" s="321" t="str">
        <f>IF(F118="","",VLOOKUP($C118,Equipment!$A$21:$D$30,4,FALSE))</f>
        <v/>
      </c>
      <c r="K118" s="371" t="str">
        <f>IF($F118="","",$G118*$J118)</f>
        <v/>
      </c>
      <c r="L118" s="322" t="str">
        <f>IF($F118="","",$H118*$F118*$E118)</f>
        <v/>
      </c>
      <c r="M118" s="362" t="str">
        <f>IF(H118="","",K118+L118)</f>
        <v/>
      </c>
      <c r="O118" s="106"/>
    </row>
    <row r="119" spans="1:18" s="85" customFormat="1" ht="15" customHeight="1" x14ac:dyDescent="0.2">
      <c r="A119" s="296"/>
      <c r="B119" s="297"/>
      <c r="C119" s="290" t="s">
        <v>191</v>
      </c>
      <c r="D119" s="297"/>
      <c r="E119" s="276"/>
      <c r="F119" s="284"/>
      <c r="G119" s="285"/>
      <c r="H119" s="319" t="str">
        <f>IF(F119="","",VLOOKUP($C119,Equipment!$A$21:$D$30,2,FALSE))</f>
        <v/>
      </c>
      <c r="I119" s="320"/>
      <c r="J119" s="321" t="str">
        <f>IF(F119="","",VLOOKUP($C119,Equipment!$A$21:$D$30,4,FALSE))</f>
        <v/>
      </c>
      <c r="K119" s="371" t="str">
        <f t="shared" ref="K119:K126" si="9">IF(F119="","",G119*J119)</f>
        <v/>
      </c>
      <c r="L119" s="323" t="str">
        <f t="shared" ref="L119:L126" si="10">IF($F119="","",$H119*$F119*$E119)</f>
        <v/>
      </c>
      <c r="M119" s="362" t="str">
        <f t="shared" ref="M119:M126" si="11">IF(H119="","",K119+L119)</f>
        <v/>
      </c>
      <c r="O119" s="106"/>
    </row>
    <row r="120" spans="1:18" s="85" customFormat="1" ht="15.75" customHeight="1" x14ac:dyDescent="0.2">
      <c r="A120" s="296"/>
      <c r="B120" s="297"/>
      <c r="C120" s="290" t="s">
        <v>191</v>
      </c>
      <c r="D120" s="297"/>
      <c r="E120" s="276"/>
      <c r="F120" s="284"/>
      <c r="G120" s="285"/>
      <c r="H120" s="319" t="str">
        <f>IF(F120="","",VLOOKUP($C120,Equipment!$A$21:$D$30,2,FALSE))</f>
        <v/>
      </c>
      <c r="I120" s="320"/>
      <c r="J120" s="321" t="str">
        <f>IF(F120="","",VLOOKUP($C120,Equipment!$A$21:$D$30,4,FALSE))</f>
        <v/>
      </c>
      <c r="K120" s="371" t="str">
        <f t="shared" si="9"/>
        <v/>
      </c>
      <c r="L120" s="323" t="str">
        <f t="shared" si="10"/>
        <v/>
      </c>
      <c r="M120" s="362" t="str">
        <f t="shared" si="11"/>
        <v/>
      </c>
      <c r="O120" s="106"/>
    </row>
    <row r="121" spans="1:18" ht="15.75" x14ac:dyDescent="0.2">
      <c r="A121" s="296"/>
      <c r="B121" s="297"/>
      <c r="C121" s="290" t="s">
        <v>191</v>
      </c>
      <c r="D121" s="297"/>
      <c r="E121" s="276"/>
      <c r="F121" s="284"/>
      <c r="G121" s="285"/>
      <c r="H121" s="319" t="str">
        <f>IF(F121="","",VLOOKUP($C121,Equipment!$A$21:$D$30,2,FALSE))</f>
        <v/>
      </c>
      <c r="I121" s="320"/>
      <c r="J121" s="321" t="str">
        <f>IF(F121="","",VLOOKUP($C121,Equipment!$A$21:$D$30,4,FALSE))</f>
        <v/>
      </c>
      <c r="K121" s="371" t="str">
        <f t="shared" si="9"/>
        <v/>
      </c>
      <c r="L121" s="323" t="str">
        <f t="shared" si="10"/>
        <v/>
      </c>
      <c r="M121" s="362" t="str">
        <f t="shared" si="11"/>
        <v/>
      </c>
    </row>
    <row r="122" spans="1:18" ht="15.75" x14ac:dyDescent="0.2">
      <c r="A122" s="296"/>
      <c r="B122" s="297"/>
      <c r="C122" s="290" t="s">
        <v>191</v>
      </c>
      <c r="D122" s="297"/>
      <c r="E122" s="276"/>
      <c r="F122" s="284"/>
      <c r="G122" s="285"/>
      <c r="H122" s="319" t="str">
        <f>IF(F122="","",VLOOKUP($C122,Equipment!$A$21:$D$30,2,FALSE))</f>
        <v/>
      </c>
      <c r="I122" s="320"/>
      <c r="J122" s="321" t="str">
        <f>IF(F122="","",VLOOKUP($C122,Equipment!$A$21:$D$30,4,FALSE))</f>
        <v/>
      </c>
      <c r="K122" s="371" t="str">
        <f t="shared" si="9"/>
        <v/>
      </c>
      <c r="L122" s="323" t="str">
        <f t="shared" si="10"/>
        <v/>
      </c>
      <c r="M122" s="362" t="str">
        <f t="shared" si="11"/>
        <v/>
      </c>
    </row>
    <row r="123" spans="1:18" ht="15.75" x14ac:dyDescent="0.2">
      <c r="A123" s="296"/>
      <c r="B123" s="297"/>
      <c r="C123" s="290" t="s">
        <v>191</v>
      </c>
      <c r="D123" s="297"/>
      <c r="E123" s="276"/>
      <c r="F123" s="284"/>
      <c r="G123" s="285"/>
      <c r="H123" s="319" t="str">
        <f>IF(F123="","",VLOOKUP($C123,Equipment!$A$21:$D$30,2,FALSE))</f>
        <v/>
      </c>
      <c r="I123" s="320"/>
      <c r="J123" s="321" t="str">
        <f>IF(F123="","",VLOOKUP($C123,Equipment!$A$21:$D$30,4,FALSE))</f>
        <v/>
      </c>
      <c r="K123" s="371" t="str">
        <f t="shared" si="9"/>
        <v/>
      </c>
      <c r="L123" s="323" t="str">
        <f t="shared" si="10"/>
        <v/>
      </c>
      <c r="M123" s="362" t="str">
        <f t="shared" si="11"/>
        <v/>
      </c>
    </row>
    <row r="124" spans="1:18" ht="15.75" x14ac:dyDescent="0.2">
      <c r="A124" s="296"/>
      <c r="B124" s="297"/>
      <c r="C124" s="290" t="s">
        <v>191</v>
      </c>
      <c r="D124" s="297"/>
      <c r="E124" s="276"/>
      <c r="F124" s="284"/>
      <c r="G124" s="285"/>
      <c r="H124" s="319" t="str">
        <f>IF(F124="","",VLOOKUP($C124,Equipment!$A$21:$D$30,2,FALSE))</f>
        <v/>
      </c>
      <c r="I124" s="320"/>
      <c r="J124" s="321" t="str">
        <f>IF(F124="","",VLOOKUP($C124,Equipment!$A$21:$D$30,4,FALSE))</f>
        <v/>
      </c>
      <c r="K124" s="371" t="str">
        <f t="shared" si="9"/>
        <v/>
      </c>
      <c r="L124" s="323" t="str">
        <f t="shared" si="10"/>
        <v/>
      </c>
      <c r="M124" s="362" t="str">
        <f t="shared" si="11"/>
        <v/>
      </c>
    </row>
    <row r="125" spans="1:18" ht="15.75" x14ac:dyDescent="0.2">
      <c r="A125" s="296"/>
      <c r="B125" s="297"/>
      <c r="C125" s="290" t="s">
        <v>191</v>
      </c>
      <c r="D125" s="297"/>
      <c r="E125" s="276"/>
      <c r="F125" s="284"/>
      <c r="G125" s="285"/>
      <c r="H125" s="319" t="str">
        <f>IF(F125="","",VLOOKUP($C125,Equipment!$A$21:$D$30,2,FALSE))</f>
        <v/>
      </c>
      <c r="I125" s="320"/>
      <c r="J125" s="321" t="str">
        <f>IF(F125="","",VLOOKUP($C125,Equipment!$A$21:$D$30,4,FALSE))</f>
        <v/>
      </c>
      <c r="K125" s="371" t="str">
        <f t="shared" si="9"/>
        <v/>
      </c>
      <c r="L125" s="323" t="str">
        <f t="shared" si="10"/>
        <v/>
      </c>
      <c r="M125" s="362" t="str">
        <f t="shared" si="11"/>
        <v/>
      </c>
    </row>
    <row r="126" spans="1:18" ht="16.5" thickBot="1" x14ac:dyDescent="0.25">
      <c r="A126" s="310"/>
      <c r="B126" s="300"/>
      <c r="C126" s="292" t="s">
        <v>191</v>
      </c>
      <c r="D126" s="300"/>
      <c r="E126" s="278"/>
      <c r="F126" s="286"/>
      <c r="G126" s="287"/>
      <c r="H126" s="324" t="str">
        <f>IF(F126="","",VLOOKUP($C126,Equipment!$A$21:$D$30,2,FALSE))</f>
        <v/>
      </c>
      <c r="I126" s="320"/>
      <c r="J126" s="325" t="str">
        <f>IF(F126="","",VLOOKUP($C126,Equipment!$A$21:$D$30,4,FALSE))</f>
        <v/>
      </c>
      <c r="K126" s="372" t="str">
        <f t="shared" si="9"/>
        <v/>
      </c>
      <c r="L126" s="326" t="str">
        <f t="shared" si="10"/>
        <v/>
      </c>
      <c r="M126" s="363" t="str">
        <f t="shared" si="11"/>
        <v/>
      </c>
    </row>
    <row r="127" spans="1:18" ht="15.75" thickBot="1" x14ac:dyDescent="0.25">
      <c r="A127" s="327"/>
      <c r="B127" s="327"/>
      <c r="C127" s="327"/>
      <c r="D127" s="327"/>
      <c r="E127" s="320"/>
      <c r="F127" s="328"/>
      <c r="G127" s="328"/>
      <c r="H127" s="329"/>
      <c r="I127" s="320"/>
      <c r="J127" s="304"/>
      <c r="K127" s="815" t="s">
        <v>350</v>
      </c>
      <c r="L127" s="816"/>
      <c r="M127" s="365">
        <f>SUM(M118:M126)</f>
        <v>0</v>
      </c>
    </row>
    <row r="128" spans="1:18" ht="16.5" customHeight="1" thickBot="1" x14ac:dyDescent="0.25">
      <c r="A128" s="330"/>
      <c r="B128" s="330"/>
      <c r="C128" s="677" t="s">
        <v>219</v>
      </c>
      <c r="D128" s="678"/>
      <c r="E128" s="518">
        <f>'MA CLAIM FORM'!E128</f>
        <v>1.4077999999999999</v>
      </c>
      <c r="F128" s="328"/>
      <c r="G128" s="328"/>
      <c r="H128" s="329"/>
      <c r="I128" s="320"/>
      <c r="J128" s="304"/>
      <c r="K128" s="331"/>
      <c r="L128" s="332"/>
      <c r="M128" s="333"/>
    </row>
    <row r="129" spans="1:18" ht="16.5" customHeight="1" thickBot="1" x14ac:dyDescent="0.25">
      <c r="A129" s="330"/>
      <c r="B129" s="330"/>
      <c r="C129" s="677" t="s">
        <v>220</v>
      </c>
      <c r="D129" s="678"/>
      <c r="E129" s="518">
        <f>'MA CLAIM FORM'!E129</f>
        <v>1.4865999999999999</v>
      </c>
      <c r="F129" s="328"/>
      <c r="G129" s="328"/>
      <c r="H129" s="329"/>
      <c r="I129" s="320"/>
      <c r="J129" s="304"/>
      <c r="K129" s="331"/>
      <c r="L129" s="332"/>
      <c r="M129" s="334"/>
    </row>
    <row r="130" spans="1:18" ht="16.5" thickBot="1" x14ac:dyDescent="0.3">
      <c r="A130" s="39"/>
      <c r="B130" s="39"/>
      <c r="C130" s="38"/>
      <c r="D130" s="39"/>
      <c r="E130" s="39"/>
      <c r="F130" s="42"/>
      <c r="G130" s="42"/>
      <c r="H130" s="43"/>
      <c r="I130" s="64"/>
      <c r="J130" s="140"/>
      <c r="K130" s="152"/>
      <c r="L130" s="153"/>
      <c r="M130" s="154"/>
    </row>
    <row r="131" spans="1:18" s="181" customFormat="1" ht="15" customHeight="1" x14ac:dyDescent="0.25">
      <c r="A131" s="725" t="s">
        <v>352</v>
      </c>
      <c r="B131" s="726"/>
      <c r="C131" s="726"/>
      <c r="D131" s="726"/>
      <c r="E131" s="726"/>
      <c r="F131" s="726"/>
      <c r="G131" s="726"/>
      <c r="H131" s="727"/>
      <c r="I131" s="188"/>
      <c r="J131" s="667" t="s">
        <v>351</v>
      </c>
      <c r="K131" s="668"/>
      <c r="L131" s="668"/>
      <c r="M131" s="669"/>
    </row>
    <row r="132" spans="1:18" s="181" customFormat="1" ht="15.75" customHeight="1" thickBot="1" x14ac:dyDescent="0.3">
      <c r="A132" s="728"/>
      <c r="B132" s="729"/>
      <c r="C132" s="729"/>
      <c r="D132" s="729"/>
      <c r="E132" s="729"/>
      <c r="F132" s="729"/>
      <c r="G132" s="729"/>
      <c r="H132" s="730"/>
      <c r="I132" s="188"/>
      <c r="J132" s="670"/>
      <c r="K132" s="671"/>
      <c r="L132" s="671"/>
      <c r="M132" s="672"/>
    </row>
    <row r="133" spans="1:18" s="119" customFormat="1" ht="44.25" customHeight="1" thickBot="1" x14ac:dyDescent="0.25">
      <c r="A133" s="121" t="s">
        <v>0</v>
      </c>
      <c r="B133" s="121" t="s">
        <v>1</v>
      </c>
      <c r="C133" s="122" t="s">
        <v>259</v>
      </c>
      <c r="D133" s="682" t="s">
        <v>223</v>
      </c>
      <c r="E133" s="683"/>
      <c r="F133" s="683"/>
      <c r="G133" s="683"/>
      <c r="H133" s="684"/>
      <c r="I133" s="115"/>
      <c r="J133" s="155" t="s">
        <v>237</v>
      </c>
      <c r="K133" s="631"/>
      <c r="L133" s="632"/>
      <c r="M133" s="264" t="s">
        <v>238</v>
      </c>
      <c r="N133" s="127"/>
      <c r="O133" s="127"/>
      <c r="P133" s="127"/>
      <c r="Q133" s="127"/>
      <c r="R133" s="127"/>
    </row>
    <row r="134" spans="1:18" ht="15.75" x14ac:dyDescent="0.2">
      <c r="A134" s="294"/>
      <c r="B134" s="295"/>
      <c r="C134" s="305" t="s">
        <v>234</v>
      </c>
      <c r="D134" s="685"/>
      <c r="E134" s="686"/>
      <c r="F134" s="686"/>
      <c r="G134" s="686"/>
      <c r="H134" s="687"/>
      <c r="I134" s="320"/>
      <c r="J134" s="368"/>
      <c r="K134" s="313"/>
      <c r="L134" s="314"/>
      <c r="M134" s="366" t="str">
        <f>IF(J134="","",J134)</f>
        <v/>
      </c>
    </row>
    <row r="135" spans="1:18" ht="15.75" x14ac:dyDescent="0.2">
      <c r="A135" s="296"/>
      <c r="B135" s="297"/>
      <c r="C135" s="305" t="s">
        <v>234</v>
      </c>
      <c r="D135" s="679"/>
      <c r="E135" s="680"/>
      <c r="F135" s="680"/>
      <c r="G135" s="680"/>
      <c r="H135" s="681"/>
      <c r="I135" s="320"/>
      <c r="J135" s="369"/>
      <c r="K135" s="315"/>
      <c r="L135" s="316"/>
      <c r="M135" s="366" t="str">
        <f t="shared" ref="M135:M142" si="12">IF(J135="","",J135)</f>
        <v/>
      </c>
    </row>
    <row r="136" spans="1:18" ht="15.75" x14ac:dyDescent="0.2">
      <c r="A136" s="296"/>
      <c r="B136" s="297"/>
      <c r="C136" s="305" t="s">
        <v>234</v>
      </c>
      <c r="D136" s="679"/>
      <c r="E136" s="680"/>
      <c r="F136" s="680"/>
      <c r="G136" s="680"/>
      <c r="H136" s="681"/>
      <c r="I136" s="320"/>
      <c r="J136" s="369"/>
      <c r="K136" s="315"/>
      <c r="L136" s="316"/>
      <c r="M136" s="366" t="str">
        <f t="shared" si="12"/>
        <v/>
      </c>
    </row>
    <row r="137" spans="1:18" ht="15.75" x14ac:dyDescent="0.2">
      <c r="A137" s="296"/>
      <c r="B137" s="297"/>
      <c r="C137" s="305" t="s">
        <v>234</v>
      </c>
      <c r="D137" s="679"/>
      <c r="E137" s="680"/>
      <c r="F137" s="680"/>
      <c r="G137" s="680"/>
      <c r="H137" s="681"/>
      <c r="I137" s="320"/>
      <c r="J137" s="369"/>
      <c r="K137" s="315"/>
      <c r="L137" s="316"/>
      <c r="M137" s="366" t="str">
        <f t="shared" si="12"/>
        <v/>
      </c>
    </row>
    <row r="138" spans="1:18" ht="15.75" x14ac:dyDescent="0.2">
      <c r="A138" s="296"/>
      <c r="B138" s="297"/>
      <c r="C138" s="305" t="s">
        <v>234</v>
      </c>
      <c r="D138" s="679"/>
      <c r="E138" s="680"/>
      <c r="F138" s="680"/>
      <c r="G138" s="680"/>
      <c r="H138" s="681"/>
      <c r="I138" s="320"/>
      <c r="J138" s="369"/>
      <c r="K138" s="315"/>
      <c r="L138" s="316"/>
      <c r="M138" s="366" t="str">
        <f t="shared" si="12"/>
        <v/>
      </c>
    </row>
    <row r="139" spans="1:18" ht="15.75" x14ac:dyDescent="0.2">
      <c r="A139" s="296"/>
      <c r="B139" s="297"/>
      <c r="C139" s="305" t="s">
        <v>234</v>
      </c>
      <c r="D139" s="679"/>
      <c r="E139" s="680"/>
      <c r="F139" s="680"/>
      <c r="G139" s="680"/>
      <c r="H139" s="681"/>
      <c r="I139" s="320"/>
      <c r="J139" s="369"/>
      <c r="K139" s="315"/>
      <c r="L139" s="316"/>
      <c r="M139" s="366" t="str">
        <f t="shared" si="12"/>
        <v/>
      </c>
    </row>
    <row r="140" spans="1:18" ht="15.75" x14ac:dyDescent="0.2">
      <c r="A140" s="296"/>
      <c r="B140" s="297"/>
      <c r="C140" s="305" t="s">
        <v>234</v>
      </c>
      <c r="D140" s="679"/>
      <c r="E140" s="680"/>
      <c r="F140" s="680"/>
      <c r="G140" s="680"/>
      <c r="H140" s="681"/>
      <c r="I140" s="320"/>
      <c r="J140" s="369"/>
      <c r="K140" s="315"/>
      <c r="L140" s="316"/>
      <c r="M140" s="366" t="str">
        <f t="shared" si="12"/>
        <v/>
      </c>
    </row>
    <row r="141" spans="1:18" ht="15.75" x14ac:dyDescent="0.2">
      <c r="A141" s="296"/>
      <c r="B141" s="297"/>
      <c r="C141" s="305" t="s">
        <v>234</v>
      </c>
      <c r="D141" s="679"/>
      <c r="E141" s="680"/>
      <c r="F141" s="680"/>
      <c r="G141" s="680"/>
      <c r="H141" s="681"/>
      <c r="I141" s="320"/>
      <c r="J141" s="369"/>
      <c r="K141" s="315"/>
      <c r="L141" s="316"/>
      <c r="M141" s="366" t="str">
        <f t="shared" si="12"/>
        <v/>
      </c>
    </row>
    <row r="142" spans="1:18" ht="16.5" thickBot="1" x14ac:dyDescent="0.25">
      <c r="A142" s="310"/>
      <c r="B142" s="300"/>
      <c r="C142" s="335" t="s">
        <v>234</v>
      </c>
      <c r="D142" s="783"/>
      <c r="E142" s="784"/>
      <c r="F142" s="784"/>
      <c r="G142" s="784"/>
      <c r="H142" s="785"/>
      <c r="I142" s="320"/>
      <c r="J142" s="370"/>
      <c r="K142" s="317"/>
      <c r="L142" s="318"/>
      <c r="M142" s="367" t="str">
        <f t="shared" si="12"/>
        <v/>
      </c>
    </row>
    <row r="143" spans="1:18" ht="23.25" customHeight="1" thickBot="1" x14ac:dyDescent="0.25">
      <c r="A143" s="417"/>
      <c r="B143" s="336"/>
      <c r="C143" s="337"/>
      <c r="D143" s="336"/>
      <c r="E143" s="336"/>
      <c r="F143" s="336"/>
      <c r="G143" s="336"/>
      <c r="H143" s="336"/>
      <c r="I143" s="320"/>
      <c r="J143" s="304"/>
      <c r="K143" s="804" t="s">
        <v>349</v>
      </c>
      <c r="L143" s="805"/>
      <c r="M143" s="365">
        <f>SUM(M134:M142)</f>
        <v>0</v>
      </c>
    </row>
    <row r="144" spans="1:18" ht="15.75" thickBot="1" x14ac:dyDescent="0.25">
      <c r="A144" s="112"/>
      <c r="B144" s="113"/>
      <c r="C144" s="113"/>
      <c r="D144" s="113"/>
      <c r="E144" s="113"/>
      <c r="F144" s="113"/>
      <c r="G144" s="113"/>
      <c r="H144" s="113"/>
      <c r="I144" s="64"/>
      <c r="J144" s="149"/>
      <c r="K144" s="149"/>
      <c r="L144" s="149"/>
      <c r="M144" s="149"/>
    </row>
    <row r="145" spans="1:18" s="75" customFormat="1" ht="15.75" customHeight="1" x14ac:dyDescent="0.25">
      <c r="A145" s="223" t="s">
        <v>137</v>
      </c>
      <c r="B145" s="192"/>
      <c r="C145" s="192"/>
      <c r="D145" s="192"/>
      <c r="E145" s="192"/>
      <c r="F145" s="63"/>
      <c r="G145" s="63"/>
      <c r="H145" s="63"/>
      <c r="I145" s="806" t="s">
        <v>359</v>
      </c>
      <c r="J145" s="807"/>
      <c r="K145" s="807"/>
      <c r="L145" s="807"/>
      <c r="M145" s="808"/>
      <c r="N145" s="106"/>
      <c r="O145" s="106"/>
      <c r="P145" s="106"/>
      <c r="Q145" s="106"/>
      <c r="R145" s="106"/>
    </row>
    <row r="146" spans="1:18" s="75" customFormat="1" ht="15.75" customHeight="1" x14ac:dyDescent="0.2">
      <c r="A146" s="89"/>
      <c r="B146" s="70"/>
      <c r="C146" s="70"/>
      <c r="D146" s="70"/>
      <c r="E146" s="70"/>
      <c r="F146" s="63"/>
      <c r="G146" s="63"/>
      <c r="H146" s="63"/>
      <c r="I146" s="809"/>
      <c r="J146" s="732"/>
      <c r="K146" s="732"/>
      <c r="L146" s="732"/>
      <c r="M146" s="810"/>
      <c r="N146" s="106"/>
      <c r="O146" s="106"/>
      <c r="P146" s="106"/>
      <c r="Q146" s="106"/>
      <c r="R146" s="106"/>
    </row>
    <row r="147" spans="1:18" ht="15.75" x14ac:dyDescent="0.25">
      <c r="A147" s="89" t="s">
        <v>99</v>
      </c>
      <c r="B147" s="70"/>
      <c r="C147" s="641">
        <f>IF(C27="","",C27)</f>
        <v>0</v>
      </c>
      <c r="D147" s="642" t="e">
        <f>IF(#REF!="","",#REF!*#REF!*A147)</f>
        <v>#REF!</v>
      </c>
      <c r="E147" s="643" t="e">
        <f>IF(#REF!="","",A147*#REF!*B147)</f>
        <v>#REF!</v>
      </c>
      <c r="F147" s="25"/>
      <c r="G147" s="25"/>
      <c r="H147" s="25"/>
      <c r="I147" s="731" t="s">
        <v>320</v>
      </c>
      <c r="J147" s="732"/>
      <c r="K147" s="732"/>
      <c r="L147" s="794">
        <f>M88</f>
        <v>0</v>
      </c>
      <c r="M147" s="795"/>
    </row>
    <row r="148" spans="1:18" ht="15.75" x14ac:dyDescent="0.25">
      <c r="A148" s="89"/>
      <c r="B148" s="70"/>
      <c r="C148" s="93"/>
      <c r="D148" s="93"/>
      <c r="E148" s="93"/>
      <c r="F148" s="25"/>
      <c r="G148" s="25"/>
      <c r="H148" s="25"/>
      <c r="I148" s="809"/>
      <c r="J148" s="732"/>
      <c r="K148" s="732"/>
      <c r="L148" s="794"/>
      <c r="M148" s="795"/>
    </row>
    <row r="149" spans="1:18" ht="15.75" x14ac:dyDescent="0.25">
      <c r="A149" s="89" t="s">
        <v>100</v>
      </c>
      <c r="B149" s="70"/>
      <c r="C149" s="641">
        <f>IF(C29="","",C29)</f>
        <v>0</v>
      </c>
      <c r="D149" s="642" t="e">
        <f>IF(#REF!="","",#REF!*#REF!*A149)</f>
        <v>#REF!</v>
      </c>
      <c r="E149" s="643" t="e">
        <f>IF(#REF!="","",A149*#REF!*B149)</f>
        <v>#REF!</v>
      </c>
      <c r="F149" s="25"/>
      <c r="G149" s="25"/>
      <c r="H149" s="25"/>
      <c r="I149" s="731" t="s">
        <v>362</v>
      </c>
      <c r="J149" s="732"/>
      <c r="K149" s="732"/>
      <c r="L149" s="794">
        <f>M102</f>
        <v>0</v>
      </c>
      <c r="M149" s="795"/>
    </row>
    <row r="150" spans="1:18" ht="15" customHeight="1" x14ac:dyDescent="0.25">
      <c r="A150" s="89"/>
      <c r="B150" s="70"/>
      <c r="C150" s="93"/>
      <c r="D150" s="93"/>
      <c r="E150" s="93"/>
      <c r="I150" s="731" t="s">
        <v>363</v>
      </c>
      <c r="J150" s="732"/>
      <c r="K150" s="732"/>
      <c r="L150" s="794">
        <f>M127</f>
        <v>0</v>
      </c>
      <c r="M150" s="795"/>
    </row>
    <row r="151" spans="1:18" ht="15.75" customHeight="1" x14ac:dyDescent="0.25">
      <c r="A151" s="89" t="s">
        <v>136</v>
      </c>
      <c r="B151" s="70"/>
      <c r="C151" s="641">
        <f>IF(C31="","",C31)</f>
        <v>0</v>
      </c>
      <c r="D151" s="642" t="e">
        <f>IF(#REF!="","",#REF!*#REF!*A151)</f>
        <v>#REF!</v>
      </c>
      <c r="E151" s="643" t="e">
        <f>IF(#REF!="","",A151*#REF!*B151)</f>
        <v>#REF!</v>
      </c>
      <c r="I151" s="731" t="s">
        <v>348</v>
      </c>
      <c r="J151" s="732"/>
      <c r="K151" s="732"/>
      <c r="L151" s="794">
        <f>M143</f>
        <v>0</v>
      </c>
      <c r="M151" s="795"/>
    </row>
    <row r="152" spans="1:18" ht="16.5" thickBot="1" x14ac:dyDescent="0.3">
      <c r="A152" s="89"/>
      <c r="B152" s="70"/>
      <c r="C152" s="95"/>
      <c r="D152" s="95"/>
      <c r="E152" s="95"/>
      <c r="I152" s="731" t="s">
        <v>364</v>
      </c>
      <c r="J152" s="732"/>
      <c r="K152" s="732"/>
      <c r="L152" s="794">
        <f>M111</f>
        <v>0</v>
      </c>
      <c r="M152" s="795"/>
    </row>
    <row r="153" spans="1:18" ht="16.5" customHeight="1" x14ac:dyDescent="0.25">
      <c r="A153" s="416" t="s">
        <v>381</v>
      </c>
      <c r="C153" s="752"/>
      <c r="D153" s="753"/>
      <c r="E153" s="753"/>
      <c r="F153" s="753"/>
      <c r="G153" s="754"/>
      <c r="I153" s="802"/>
      <c r="J153" s="803"/>
      <c r="K153" s="803"/>
      <c r="L153" s="796"/>
      <c r="M153" s="797"/>
    </row>
    <row r="154" spans="1:18" ht="15.75" x14ac:dyDescent="0.25">
      <c r="A154" s="19"/>
      <c r="C154" s="755"/>
      <c r="D154" s="756"/>
      <c r="E154" s="756"/>
      <c r="F154" s="756"/>
      <c r="G154" s="757"/>
      <c r="I154" s="802"/>
      <c r="J154" s="803"/>
      <c r="K154" s="803"/>
      <c r="L154" s="796"/>
      <c r="M154" s="797"/>
    </row>
    <row r="155" spans="1:18" ht="18.75" customHeight="1" thickBot="1" x14ac:dyDescent="0.35">
      <c r="A155" s="19"/>
      <c r="C155" s="755"/>
      <c r="D155" s="756"/>
      <c r="E155" s="756"/>
      <c r="F155" s="756"/>
      <c r="G155" s="757"/>
      <c r="I155" s="800" t="s">
        <v>360</v>
      </c>
      <c r="J155" s="801"/>
      <c r="K155" s="801"/>
      <c r="L155" s="798">
        <f>SUM(L147:M154)</f>
        <v>0</v>
      </c>
      <c r="M155" s="799"/>
    </row>
    <row r="156" spans="1:18" ht="15.75" thickBot="1" x14ac:dyDescent="0.25">
      <c r="A156" s="19"/>
      <c r="C156" s="758"/>
      <c r="D156" s="759"/>
      <c r="E156" s="759"/>
      <c r="F156" s="759"/>
      <c r="G156" s="760"/>
      <c r="J156" s="73"/>
      <c r="K156" s="73"/>
      <c r="L156" s="73"/>
      <c r="M156" s="73"/>
    </row>
    <row r="157" spans="1:18" ht="15.75" thickBot="1" x14ac:dyDescent="0.25">
      <c r="A157" s="418"/>
    </row>
    <row r="158" spans="1:18" ht="15" customHeight="1" thickBot="1" x14ac:dyDescent="0.25">
      <c r="A158" s="786" t="str">
        <f>'MA CLAIM FORM'!A158:M158</f>
        <v>USER NOTES:</v>
      </c>
      <c r="B158" s="787"/>
      <c r="C158" s="787"/>
      <c r="D158" s="787"/>
      <c r="E158" s="787"/>
      <c r="F158" s="787"/>
      <c r="G158" s="787"/>
      <c r="H158" s="787"/>
      <c r="I158" s="787"/>
      <c r="J158" s="787"/>
      <c r="K158" s="787"/>
      <c r="L158" s="787"/>
      <c r="M158" s="788"/>
    </row>
    <row r="159" spans="1:18" ht="15.75" customHeight="1" thickBot="1" x14ac:dyDescent="0.25">
      <c r="A159" s="786" t="str">
        <f>'MA CLAIM FORM'!A159:M159</f>
        <v xml:space="preserve">1.THIS CLAIM FORM  SHOULD BE USED IN CONJUNCTION WITH THE NPCC GUIDANCE: CHARGING FOR POLICE SERVICES: MUTUAL AID COST RECOVERY.  </v>
      </c>
      <c r="B159" s="787"/>
      <c r="C159" s="787"/>
      <c r="D159" s="787"/>
      <c r="E159" s="787"/>
      <c r="F159" s="787"/>
      <c r="G159" s="787"/>
      <c r="H159" s="787"/>
      <c r="I159" s="787"/>
      <c r="J159" s="787"/>
      <c r="K159" s="787"/>
      <c r="L159" s="787"/>
      <c r="M159" s="788"/>
    </row>
    <row r="160" spans="1:18" ht="15" customHeight="1" thickBot="1" x14ac:dyDescent="0.25">
      <c r="A160" s="786" t="str">
        <f>'MA CLAIM FORM'!A160:M160</f>
        <v>2.THIS FORM AND THE GUIDANCE WILL BE  UPDATED ANNUALLY WITH NEW CHARGING RATES AND ANY REGULATION OR GUIDANCE CHANGES.</v>
      </c>
      <c r="B160" s="787"/>
      <c r="C160" s="787"/>
      <c r="D160" s="787"/>
      <c r="E160" s="787"/>
      <c r="F160" s="787"/>
      <c r="G160" s="787"/>
      <c r="H160" s="787"/>
      <c r="I160" s="787"/>
      <c r="J160" s="787"/>
      <c r="K160" s="787"/>
      <c r="L160" s="787"/>
      <c r="M160" s="788"/>
    </row>
    <row r="161" spans="1:13" ht="15" customHeight="1" thickBot="1" x14ac:dyDescent="0.25">
      <c r="A161" s="786" t="str">
        <f>'MA CLAIM FORM'!A161:M161</f>
        <v>3. IF DEPLOYMENT CROSSES MAR/APR DATE BOUNDARY THEN A SEPARATE FORM FOR EACH FINANCIAL YEAR SHOULD BE USED (DUE TO RATE CHANGES)</v>
      </c>
      <c r="B161" s="787"/>
      <c r="C161" s="787"/>
      <c r="D161" s="787"/>
      <c r="E161" s="787"/>
      <c r="F161" s="787"/>
      <c r="G161" s="787"/>
      <c r="H161" s="787"/>
      <c r="I161" s="787"/>
      <c r="J161" s="787"/>
      <c r="K161" s="787"/>
      <c r="L161" s="787"/>
      <c r="M161" s="788"/>
    </row>
    <row r="162" spans="1:13" ht="15" customHeight="1" x14ac:dyDescent="0.2">
      <c r="A162" s="786" t="str">
        <f>'MA CLAIM FORM'!A162:M162</f>
        <v xml:space="preserve">4. ONLY ONE CLAIM FORM SHOULD BE USED PER FORCE, EXCEPT WHERE FORM CAPACITY EXCEEDED OR CLAIM SPANS MULTIPLE FINANCIAL YEARS. </v>
      </c>
      <c r="B162" s="787"/>
      <c r="C162" s="787"/>
      <c r="D162" s="787"/>
      <c r="E162" s="787"/>
      <c r="F162" s="787"/>
      <c r="G162" s="787"/>
      <c r="H162" s="787"/>
      <c r="I162" s="787"/>
      <c r="J162" s="787"/>
      <c r="K162" s="787"/>
      <c r="L162" s="787"/>
      <c r="M162" s="788"/>
    </row>
    <row r="163" spans="1:13" ht="15.75" thickBot="1" x14ac:dyDescent="0.25"/>
    <row r="164" spans="1:13" ht="15" customHeight="1" x14ac:dyDescent="0.2">
      <c r="A164" s="163" t="s">
        <v>249</v>
      </c>
      <c r="B164" s="161"/>
      <c r="C164" s="161"/>
      <c r="D164" s="162"/>
      <c r="F164" s="774" t="s">
        <v>247</v>
      </c>
      <c r="G164" s="775"/>
      <c r="H164" s="775"/>
      <c r="I164" s="775"/>
      <c r="J164" s="775"/>
      <c r="K164" s="775"/>
      <c r="L164" s="775"/>
      <c r="M164" s="776"/>
    </row>
    <row r="165" spans="1:13" ht="15" customHeight="1" x14ac:dyDescent="0.2">
      <c r="A165" s="268"/>
      <c r="B165" s="749" t="str">
        <f>'MA CLAIM FORM'!B165</f>
        <v>Drop down list available</v>
      </c>
      <c r="C165" s="750"/>
      <c r="D165" s="751"/>
      <c r="F165" s="777"/>
      <c r="G165" s="778"/>
      <c r="H165" s="778"/>
      <c r="I165" s="778"/>
      <c r="J165" s="778"/>
      <c r="K165" s="778"/>
      <c r="L165" s="778"/>
      <c r="M165" s="779"/>
    </row>
    <row r="166" spans="1:13" ht="15" customHeight="1" x14ac:dyDescent="0.2">
      <c r="A166" s="267"/>
      <c r="B166" s="749" t="str">
        <f>'MA CLAIM FORM'!B166</f>
        <v>Values must be entered to enable calculations</v>
      </c>
      <c r="C166" s="750"/>
      <c r="D166" s="751"/>
      <c r="F166" s="777"/>
      <c r="G166" s="778"/>
      <c r="H166" s="778"/>
      <c r="I166" s="778"/>
      <c r="J166" s="778"/>
      <c r="K166" s="778"/>
      <c r="L166" s="778"/>
      <c r="M166" s="779"/>
    </row>
    <row r="167" spans="1:13" ht="15" customHeight="1" x14ac:dyDescent="0.25">
      <c r="A167" s="269" t="s">
        <v>313</v>
      </c>
      <c r="B167" s="749" t="str">
        <f>'MA CLAIM FORM'!B167</f>
        <v>Calculations automatically completed</v>
      </c>
      <c r="C167" s="750"/>
      <c r="D167" s="751"/>
      <c r="F167" s="777"/>
      <c r="G167" s="778"/>
      <c r="H167" s="778"/>
      <c r="I167" s="778"/>
      <c r="J167" s="778"/>
      <c r="K167" s="778"/>
      <c r="L167" s="778"/>
      <c r="M167" s="779"/>
    </row>
    <row r="168" spans="1:13" ht="15.75" customHeight="1" x14ac:dyDescent="0.2">
      <c r="A168" s="270"/>
      <c r="B168" s="749" t="str">
        <f>'MA CLAIM FORM'!B168</f>
        <v>Value either calculated or can be overwritten</v>
      </c>
      <c r="C168" s="750"/>
      <c r="D168" s="751"/>
      <c r="F168" s="777"/>
      <c r="G168" s="778"/>
      <c r="H168" s="778"/>
      <c r="I168" s="778"/>
      <c r="J168" s="778"/>
      <c r="K168" s="778"/>
      <c r="L168" s="778"/>
      <c r="M168" s="779"/>
    </row>
    <row r="169" spans="1:13" ht="15.75" thickBot="1" x14ac:dyDescent="0.25">
      <c r="A169" s="199"/>
      <c r="B169" s="771" t="str">
        <f>'MA CLAIM FORM'!B169</f>
        <v>Free text fields for notes/references</v>
      </c>
      <c r="C169" s="772"/>
      <c r="D169" s="773"/>
      <c r="F169" s="780"/>
      <c r="G169" s="781"/>
      <c r="H169" s="781"/>
      <c r="I169" s="781"/>
      <c r="J169" s="781"/>
      <c r="K169" s="781"/>
      <c r="L169" s="781"/>
      <c r="M169" s="782"/>
    </row>
    <row r="170" spans="1:13" ht="14.25" customHeight="1" x14ac:dyDescent="0.2">
      <c r="A170" s="19"/>
      <c r="B170" s="200"/>
      <c r="C170" s="19"/>
      <c r="D170" s="19"/>
    </row>
    <row r="171" spans="1:13" x14ac:dyDescent="0.2">
      <c r="A171" s="19"/>
      <c r="B171" s="19"/>
      <c r="C171" s="19"/>
      <c r="D171" s="19"/>
    </row>
  </sheetData>
  <sheetProtection selectLockedCells="1"/>
  <protectedRanges>
    <protectedRange password="C534" sqref="C88:I88 I61:I87 C60:C87 F79:H87" name="Input_Personnel_3"/>
    <protectedRange sqref="K22" name="start date"/>
    <protectedRange sqref="M22 H23:H24" name="end date"/>
    <protectedRange sqref="G42:G43 G39 F37:G38 A40:A41" name="Mutual aid Grade_1"/>
    <protectedRange sqref="A50 F51 G54:G56 F49:G49 A52:A53" name="Mutual aid Grade_4"/>
    <protectedRange password="C534" sqref="F60:H78" name="Input_Personnel_3_1"/>
    <protectedRange password="C534" sqref="D60:E87" name="Input_Personnel_3_2"/>
  </protectedRanges>
  <mergeCells count="95">
    <mergeCell ref="A20:D20"/>
    <mergeCell ref="H20:M20"/>
    <mergeCell ref="A6:C10"/>
    <mergeCell ref="K6:M10"/>
    <mergeCell ref="H16:M16"/>
    <mergeCell ref="H18:M18"/>
    <mergeCell ref="D4:J11"/>
    <mergeCell ref="D22:G24"/>
    <mergeCell ref="G25:M25"/>
    <mergeCell ref="C27:E27"/>
    <mergeCell ref="I27:M27"/>
    <mergeCell ref="C29:E29"/>
    <mergeCell ref="I29:M29"/>
    <mergeCell ref="C31:E31"/>
    <mergeCell ref="I31:M31"/>
    <mergeCell ref="C33:E33"/>
    <mergeCell ref="A37:E37"/>
    <mergeCell ref="A40:C40"/>
    <mergeCell ref="D40:F40"/>
    <mergeCell ref="H40:M40"/>
    <mergeCell ref="A90:H91"/>
    <mergeCell ref="J90:M91"/>
    <mergeCell ref="A43:F45"/>
    <mergeCell ref="H43:M45"/>
    <mergeCell ref="A49:E49"/>
    <mergeCell ref="A50:D50"/>
    <mergeCell ref="G50:M50"/>
    <mergeCell ref="A52:D52"/>
    <mergeCell ref="G52:M52"/>
    <mergeCell ref="G53:M53"/>
    <mergeCell ref="J57:M58"/>
    <mergeCell ref="K88:L88"/>
    <mergeCell ref="A57:C58"/>
    <mergeCell ref="D57:H58"/>
    <mergeCell ref="C128:D128"/>
    <mergeCell ref="K102:L102"/>
    <mergeCell ref="B103:H104"/>
    <mergeCell ref="A105:H106"/>
    <mergeCell ref="J105:M106"/>
    <mergeCell ref="D107:E107"/>
    <mergeCell ref="K107:L107"/>
    <mergeCell ref="K111:L111"/>
    <mergeCell ref="B112:H112"/>
    <mergeCell ref="A115:H116"/>
    <mergeCell ref="J115:M116"/>
    <mergeCell ref="K127:L127"/>
    <mergeCell ref="D140:H140"/>
    <mergeCell ref="C129:D129"/>
    <mergeCell ref="A131:H132"/>
    <mergeCell ref="J131:M132"/>
    <mergeCell ref="D133:H133"/>
    <mergeCell ref="K133:L133"/>
    <mergeCell ref="D134:H134"/>
    <mergeCell ref="D135:H135"/>
    <mergeCell ref="D136:H136"/>
    <mergeCell ref="D137:H137"/>
    <mergeCell ref="D138:H138"/>
    <mergeCell ref="D139:H139"/>
    <mergeCell ref="L150:M150"/>
    <mergeCell ref="D141:H141"/>
    <mergeCell ref="D142:H142"/>
    <mergeCell ref="K143:L143"/>
    <mergeCell ref="C147:E147"/>
    <mergeCell ref="L147:M147"/>
    <mergeCell ref="L148:M148"/>
    <mergeCell ref="C149:E149"/>
    <mergeCell ref="L149:M149"/>
    <mergeCell ref="I145:M146"/>
    <mergeCell ref="I147:K147"/>
    <mergeCell ref="I148:K148"/>
    <mergeCell ref="I149:K149"/>
    <mergeCell ref="I150:K150"/>
    <mergeCell ref="A159:M159"/>
    <mergeCell ref="C151:E151"/>
    <mergeCell ref="L151:M151"/>
    <mergeCell ref="L152:M152"/>
    <mergeCell ref="L153:M153"/>
    <mergeCell ref="L154:M154"/>
    <mergeCell ref="L155:M155"/>
    <mergeCell ref="A158:M158"/>
    <mergeCell ref="I155:K155"/>
    <mergeCell ref="I153:K153"/>
    <mergeCell ref="I154:K154"/>
    <mergeCell ref="I151:K151"/>
    <mergeCell ref="I152:K152"/>
    <mergeCell ref="C153:G156"/>
    <mergeCell ref="B169:D169"/>
    <mergeCell ref="F164:M169"/>
    <mergeCell ref="A160:M160"/>
    <mergeCell ref="A161:M161"/>
    <mergeCell ref="A162:M162"/>
    <mergeCell ref="B168:D168"/>
    <mergeCell ref="B165:D165"/>
    <mergeCell ref="B166:D166"/>
    <mergeCell ref="B167:D167"/>
  </mergeCells>
  <conditionalFormatting sqref="D57:H58">
    <cfRule type="expression" dxfId="0" priority="1">
      <formula>$A$20="UKFPU"</formula>
    </cfRule>
  </conditionalFormatting>
  <dataValidations count="14">
    <dataValidation type="list" allowBlank="1" showInputMessage="1" showErrorMessage="1" sqref="C60:C87">
      <formula1>Rank</formula1>
    </dataValidation>
    <dataValidation type="list" allowBlank="1" showInputMessage="1" showErrorMessage="1" sqref="A20:A21 A4:A5 H20:H21">
      <formula1>Force</formula1>
    </dataValidation>
    <dataValidation type="list" allowBlank="1" showInputMessage="1" showErrorMessage="1" sqref="A40:C40 E60:E87">
      <formula1>MAG</formula1>
    </dataValidation>
    <dataValidation type="list" allowBlank="1" showInputMessage="1" showErrorMessage="1" sqref="C108:C110">
      <formula1>Equip</formula1>
    </dataValidation>
    <dataValidation type="list" allowBlank="1" showInputMessage="1" showErrorMessage="1" sqref="C134:C142">
      <formula1>Consume</formula1>
    </dataValidation>
    <dataValidation type="list" allowBlank="1" showInputMessage="1" showErrorMessage="1" sqref="E88">
      <formula1>RESOURCES</formula1>
    </dataValidation>
    <dataValidation type="list" allowBlank="1" showInputMessage="1" showErrorMessage="1" sqref="C93:C101">
      <formula1>Allow</formula1>
    </dataValidation>
    <dataValidation type="list" allowBlank="1" showInputMessage="1" showErrorMessage="1" sqref="C118:C126">
      <formula1>Vehicle</formula1>
    </dataValidation>
    <dataValidation type="list" allowBlank="1" showInputMessage="1" showErrorMessage="1" sqref="E130 E127 E89">
      <formula1>vehiclet</formula1>
    </dataValidation>
    <dataValidation type="list" allowBlank="1" showInputMessage="1" showErrorMessage="1" sqref="E102 E143">
      <formula1>allowt</formula1>
    </dataValidation>
    <dataValidation type="list" allowBlank="1" showInputMessage="1" showErrorMessage="1" sqref="D88">
      <formula1>ranksandg</formula1>
    </dataValidation>
    <dataValidation type="list" allowBlank="1" showInputMessage="1" showErrorMessage="1" sqref="A50">
      <formula1>YesNo</formula1>
    </dataValidation>
    <dataValidation type="list" allowBlank="1" showInputMessage="1" showErrorMessage="1" sqref="A52:A53">
      <formula1>deploy</formula1>
    </dataValidation>
    <dataValidation type="list" allowBlank="1" showInputMessage="1" showErrorMessage="1" promptTitle="Mutual Aid Grade" prompt="Select appropriate Mutual Aid Grade" sqref="A41">
      <formula1>MAG</formula1>
    </dataValidation>
  </dataValidations>
  <pageMargins left="0.35433070866141736" right="0.23622047244094491" top="0.39370078740157483" bottom="0.39370078740157483" header="0.19685039370078741" footer="0.31496062992125984"/>
  <pageSetup paperSize="9" scale="56" fitToHeight="2" orientation="portrait" horizontalDpi="300" verticalDpi="300" r:id="rId1"/>
  <headerFooter>
    <oddFooter>&amp;L&amp;8&amp;F&amp;R&amp;8&amp;P</oddFooter>
  </headerFooter>
  <rowBreaks count="1" manualBreakCount="1">
    <brk id="88" max="12" man="1"/>
  </rowBreaks>
  <ignoredErrors>
    <ignoredError sqref="K22:M22 E61:K87 K60 C147:E151" unlocked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X155"/>
  <sheetViews>
    <sheetView showGridLines="0" zoomScale="80" zoomScaleNormal="80" workbookViewId="0">
      <selection activeCell="P13" sqref="P13"/>
    </sheetView>
  </sheetViews>
  <sheetFormatPr defaultColWidth="8.88671875" defaultRowHeight="15" x14ac:dyDescent="0.2"/>
  <cols>
    <col min="1" max="1" width="8.88671875" style="73"/>
    <col min="2" max="2" width="10" style="73" customWidth="1"/>
    <col min="3" max="3" width="20" style="73" customWidth="1"/>
    <col min="4" max="4" width="21.109375" style="73" customWidth="1"/>
    <col min="5" max="5" width="7.6640625" style="73" customWidth="1"/>
    <col min="6" max="6" width="7.109375" style="73" customWidth="1"/>
    <col min="7" max="7" width="8.109375" style="73" customWidth="1"/>
    <col min="8" max="8" width="9.6640625" style="73" customWidth="1"/>
    <col min="9" max="9" width="4.77734375" style="73" customWidth="1"/>
    <col min="10" max="12" width="11" style="73" customWidth="1"/>
    <col min="13" max="13" width="11.5546875" style="73" customWidth="1"/>
    <col min="14" max="16384" width="8.88671875" style="73"/>
  </cols>
  <sheetData>
    <row r="1" spans="1:17" s="72" customFormat="1" ht="15" customHeight="1" x14ac:dyDescent="0.2">
      <c r="A1" s="194"/>
      <c r="B1" s="161"/>
      <c r="C1" s="161"/>
      <c r="D1" s="161"/>
      <c r="E1" s="161"/>
      <c r="F1" s="161"/>
      <c r="G1" s="161"/>
      <c r="H1" s="161"/>
      <c r="I1" s="161"/>
      <c r="J1" s="161"/>
      <c r="K1" s="161"/>
      <c r="L1" s="161"/>
      <c r="M1" s="162"/>
      <c r="O1" s="85"/>
    </row>
    <row r="2" spans="1:17" s="72" customFormat="1" ht="15" customHeight="1" x14ac:dyDescent="0.2">
      <c r="A2" s="265"/>
      <c r="B2" s="19"/>
      <c r="C2" s="19"/>
      <c r="D2" s="19"/>
      <c r="E2" s="19"/>
      <c r="F2" s="19"/>
      <c r="G2" s="19"/>
      <c r="H2" s="19"/>
      <c r="I2" s="19"/>
      <c r="J2" s="19"/>
      <c r="K2" s="19"/>
      <c r="L2" s="19"/>
      <c r="M2" s="266"/>
      <c r="O2" s="85"/>
    </row>
    <row r="3" spans="1:17" s="72" customFormat="1" ht="15" customHeight="1" x14ac:dyDescent="0.2">
      <c r="A3" s="265"/>
      <c r="B3" s="19"/>
      <c r="C3" s="19"/>
      <c r="D3" s="19"/>
      <c r="E3" s="19"/>
      <c r="F3" s="19"/>
      <c r="G3" s="19"/>
      <c r="H3" s="19"/>
      <c r="I3" s="19"/>
      <c r="J3" s="19"/>
      <c r="K3" s="19"/>
      <c r="L3" s="19"/>
      <c r="M3" s="266"/>
      <c r="O3" s="85"/>
    </row>
    <row r="4" spans="1:17" s="72" customFormat="1" ht="15" customHeight="1" x14ac:dyDescent="0.2">
      <c r="A4" s="195"/>
      <c r="B4" s="196"/>
      <c r="C4" s="196"/>
      <c r="D4" s="610" t="s">
        <v>426</v>
      </c>
      <c r="E4" s="611"/>
      <c r="F4" s="611"/>
      <c r="G4" s="611"/>
      <c r="H4" s="611"/>
      <c r="I4" s="611"/>
      <c r="J4" s="611"/>
      <c r="K4" s="196"/>
      <c r="L4" s="196"/>
      <c r="M4" s="197"/>
      <c r="O4" s="85"/>
    </row>
    <row r="5" spans="1:17" s="72" customFormat="1" ht="15" customHeight="1" x14ac:dyDescent="0.2">
      <c r="A5" s="195"/>
      <c r="B5" s="196"/>
      <c r="C5" s="196"/>
      <c r="D5" s="611"/>
      <c r="E5" s="611"/>
      <c r="F5" s="611"/>
      <c r="G5" s="611"/>
      <c r="H5" s="611"/>
      <c r="I5" s="611"/>
      <c r="J5" s="611"/>
      <c r="K5" s="196"/>
      <c r="L5" s="196"/>
      <c r="M5" s="197"/>
      <c r="O5" s="85"/>
    </row>
    <row r="6" spans="1:17" s="72" customFormat="1" ht="15" customHeight="1" x14ac:dyDescent="0.2">
      <c r="A6" s="613"/>
      <c r="B6" s="614"/>
      <c r="C6" s="614"/>
      <c r="D6" s="611"/>
      <c r="E6" s="611"/>
      <c r="F6" s="611"/>
      <c r="G6" s="611"/>
      <c r="H6" s="611"/>
      <c r="I6" s="611"/>
      <c r="J6" s="611"/>
      <c r="K6" s="615"/>
      <c r="L6" s="615"/>
      <c r="M6" s="616"/>
      <c r="O6" s="85"/>
    </row>
    <row r="7" spans="1:17" s="72" customFormat="1" ht="15" customHeight="1" x14ac:dyDescent="0.2">
      <c r="A7" s="613"/>
      <c r="B7" s="614"/>
      <c r="C7" s="614"/>
      <c r="D7" s="611"/>
      <c r="E7" s="611"/>
      <c r="F7" s="611"/>
      <c r="G7" s="611"/>
      <c r="H7" s="611"/>
      <c r="I7" s="611"/>
      <c r="J7" s="611"/>
      <c r="K7" s="615"/>
      <c r="L7" s="615"/>
      <c r="M7" s="616"/>
      <c r="N7" s="213"/>
      <c r="O7" s="213"/>
      <c r="P7" s="213"/>
      <c r="Q7" s="213"/>
    </row>
    <row r="8" spans="1:17" s="72" customFormat="1" ht="15" customHeight="1" x14ac:dyDescent="0.2">
      <c r="A8" s="613"/>
      <c r="B8" s="614"/>
      <c r="C8" s="614"/>
      <c r="D8" s="611"/>
      <c r="E8" s="611"/>
      <c r="F8" s="611"/>
      <c r="G8" s="611"/>
      <c r="H8" s="611"/>
      <c r="I8" s="611"/>
      <c r="J8" s="611"/>
      <c r="K8" s="615"/>
      <c r="L8" s="615"/>
      <c r="M8" s="616"/>
      <c r="N8" s="213"/>
      <c r="O8" s="213"/>
      <c r="P8" s="213"/>
      <c r="Q8" s="213"/>
    </row>
    <row r="9" spans="1:17" s="72" customFormat="1" ht="15" customHeight="1" x14ac:dyDescent="0.2">
      <c r="A9" s="613"/>
      <c r="B9" s="614"/>
      <c r="C9" s="614"/>
      <c r="D9" s="611"/>
      <c r="E9" s="611"/>
      <c r="F9" s="611"/>
      <c r="G9" s="611"/>
      <c r="H9" s="611"/>
      <c r="I9" s="611"/>
      <c r="J9" s="611"/>
      <c r="K9" s="615"/>
      <c r="L9" s="615"/>
      <c r="M9" s="616"/>
      <c r="N9" s="213"/>
      <c r="O9" s="213"/>
      <c r="P9" s="213"/>
      <c r="Q9" s="213"/>
    </row>
    <row r="10" spans="1:17" s="72" customFormat="1" ht="15" customHeight="1" x14ac:dyDescent="0.2">
      <c r="A10" s="613"/>
      <c r="B10" s="614"/>
      <c r="C10" s="614"/>
      <c r="D10" s="611"/>
      <c r="E10" s="611"/>
      <c r="F10" s="611"/>
      <c r="G10" s="611"/>
      <c r="H10" s="611"/>
      <c r="I10" s="611"/>
      <c r="J10" s="611"/>
      <c r="K10" s="615"/>
      <c r="L10" s="615"/>
      <c r="M10" s="616"/>
      <c r="N10" s="213"/>
      <c r="O10" s="213"/>
      <c r="P10" s="213"/>
      <c r="Q10" s="213"/>
    </row>
    <row r="11" spans="1:17" s="72" customFormat="1" ht="15" customHeight="1" thickBot="1" x14ac:dyDescent="0.3">
      <c r="A11" s="67"/>
      <c r="B11" s="35"/>
      <c r="C11" s="35"/>
      <c r="D11" s="612"/>
      <c r="E11" s="612"/>
      <c r="F11" s="612"/>
      <c r="G11" s="612"/>
      <c r="H11" s="612"/>
      <c r="I11" s="612"/>
      <c r="J11" s="612"/>
      <c r="K11" s="36"/>
      <c r="L11" s="36"/>
      <c r="M11" s="68"/>
      <c r="N11" s="213"/>
      <c r="O11" s="213"/>
      <c r="P11" s="213"/>
      <c r="Q11" s="213"/>
    </row>
    <row r="12" spans="1:17" s="72" customFormat="1" ht="15" customHeight="1" x14ac:dyDescent="0.2">
      <c r="A12" s="76"/>
      <c r="B12" s="77"/>
      <c r="C12" s="77"/>
      <c r="D12" s="77"/>
      <c r="E12" s="70"/>
      <c r="F12" s="70"/>
      <c r="G12" s="77"/>
      <c r="H12" s="77"/>
      <c r="I12" s="77"/>
      <c r="J12" s="77"/>
      <c r="K12" s="77"/>
      <c r="L12" s="77"/>
      <c r="M12" s="71"/>
      <c r="N12" s="213"/>
      <c r="O12" s="213"/>
      <c r="P12" s="213"/>
      <c r="Q12" s="213"/>
    </row>
    <row r="13" spans="1:17" s="72" customFormat="1" ht="15" customHeight="1" x14ac:dyDescent="0.2">
      <c r="A13" s="76"/>
      <c r="B13" s="77"/>
      <c r="C13" s="77"/>
      <c r="D13" s="77"/>
      <c r="E13" s="70"/>
      <c r="F13" s="70"/>
      <c r="G13" s="77"/>
      <c r="H13" s="77"/>
      <c r="I13" s="77"/>
      <c r="J13" s="77"/>
      <c r="K13" s="77"/>
      <c r="L13" s="77"/>
      <c r="M13" s="71"/>
      <c r="N13" s="213"/>
      <c r="O13" s="213"/>
      <c r="P13" s="213"/>
      <c r="Q13" s="213"/>
    </row>
    <row r="14" spans="1:17" s="72" customFormat="1" ht="15" customHeight="1" x14ac:dyDescent="0.2">
      <c r="A14" s="76"/>
      <c r="B14" s="77"/>
      <c r="C14" s="77"/>
      <c r="D14" s="77"/>
      <c r="E14" s="70"/>
      <c r="F14" s="70"/>
      <c r="G14" s="77"/>
      <c r="H14" s="77"/>
      <c r="I14" s="77"/>
      <c r="J14" s="77"/>
      <c r="K14" s="77"/>
      <c r="L14" s="77"/>
      <c r="M14" s="71"/>
      <c r="N14" s="213"/>
      <c r="O14" s="213"/>
      <c r="P14" s="213"/>
      <c r="Q14" s="213"/>
    </row>
    <row r="15" spans="1:17" s="72" customFormat="1" ht="15" customHeight="1" thickBot="1" x14ac:dyDescent="0.25">
      <c r="A15" s="76"/>
      <c r="B15" s="77"/>
      <c r="C15" s="77"/>
      <c r="D15" s="77"/>
      <c r="E15" s="70"/>
      <c r="F15" s="70"/>
      <c r="G15" s="77"/>
      <c r="H15" s="77"/>
      <c r="I15" s="77"/>
      <c r="J15" s="77"/>
      <c r="K15" s="77"/>
      <c r="L15" s="77"/>
      <c r="M15" s="71"/>
      <c r="N15" s="213"/>
      <c r="O15" s="213"/>
      <c r="P15" s="213"/>
      <c r="Q15" s="213"/>
    </row>
    <row r="16" spans="1:17" s="181" customFormat="1" ht="18" x14ac:dyDescent="0.25">
      <c r="A16" s="886" t="s">
        <v>341</v>
      </c>
      <c r="B16" s="887"/>
      <c r="C16" s="887"/>
      <c r="D16" s="887"/>
      <c r="E16" s="887"/>
      <c r="F16" s="887"/>
      <c r="G16" s="887"/>
      <c r="H16" s="887"/>
      <c r="I16" s="887"/>
      <c r="J16" s="887"/>
      <c r="K16" s="887"/>
      <c r="L16" s="887"/>
      <c r="M16" s="888"/>
      <c r="N16" s="214"/>
      <c r="O16" s="214"/>
      <c r="P16" s="214"/>
      <c r="Q16" s="214"/>
    </row>
    <row r="17" spans="1:24" s="181" customFormat="1" ht="18.75" thickBot="1" x14ac:dyDescent="0.3">
      <c r="A17" s="889"/>
      <c r="B17" s="890"/>
      <c r="C17" s="890"/>
      <c r="D17" s="890"/>
      <c r="E17" s="890"/>
      <c r="F17" s="890"/>
      <c r="G17" s="890"/>
      <c r="H17" s="890"/>
      <c r="I17" s="890"/>
      <c r="J17" s="890"/>
      <c r="K17" s="890"/>
      <c r="L17" s="890"/>
      <c r="M17" s="891"/>
      <c r="N17" s="214"/>
      <c r="O17" s="214"/>
      <c r="P17" s="214"/>
      <c r="Q17" s="214"/>
    </row>
    <row r="18" spans="1:24" s="181" customFormat="1" ht="8.25" customHeight="1" x14ac:dyDescent="0.25">
      <c r="A18" s="217"/>
      <c r="B18" s="218"/>
      <c r="C18" s="218"/>
      <c r="D18" s="218"/>
      <c r="E18" s="218"/>
      <c r="F18" s="218"/>
      <c r="G18" s="218"/>
      <c r="H18" s="219"/>
      <c r="I18" s="219"/>
      <c r="J18" s="219"/>
      <c r="K18" s="219"/>
      <c r="L18" s="219"/>
      <c r="M18" s="220"/>
      <c r="N18" s="214"/>
      <c r="O18" s="214"/>
      <c r="P18" s="214"/>
      <c r="Q18" s="214"/>
    </row>
    <row r="19" spans="1:24" s="181" customFormat="1" ht="8.25" customHeight="1" x14ac:dyDescent="0.25">
      <c r="A19" s="217"/>
      <c r="B19" s="218"/>
      <c r="C19" s="218"/>
      <c r="D19" s="218"/>
      <c r="E19" s="218"/>
      <c r="F19" s="218"/>
      <c r="G19" s="218"/>
      <c r="H19" s="219"/>
      <c r="I19" s="219"/>
      <c r="J19" s="219"/>
      <c r="K19" s="219"/>
      <c r="L19" s="219"/>
      <c r="M19" s="220"/>
      <c r="N19" s="214"/>
      <c r="O19" s="214"/>
      <c r="P19" s="214"/>
      <c r="Q19" s="214"/>
    </row>
    <row r="20" spans="1:24" s="181" customFormat="1" ht="18" x14ac:dyDescent="0.25">
      <c r="A20" s="262" t="s">
        <v>223</v>
      </c>
      <c r="B20" s="861" t="s">
        <v>268</v>
      </c>
      <c r="C20" s="861"/>
      <c r="D20" s="861"/>
      <c r="E20" s="861"/>
      <c r="F20" s="861"/>
      <c r="G20" s="861"/>
      <c r="H20" s="861"/>
      <c r="I20" s="219"/>
      <c r="J20" s="219"/>
      <c r="K20" s="219"/>
      <c r="L20" s="219"/>
      <c r="M20" s="220"/>
      <c r="N20" s="214"/>
      <c r="O20" s="214"/>
      <c r="P20" s="214"/>
      <c r="Q20" s="214"/>
    </row>
    <row r="21" spans="1:24" s="181" customFormat="1" ht="30.75" customHeight="1" x14ac:dyDescent="0.25">
      <c r="A21" s="262"/>
      <c r="B21" s="861" t="s">
        <v>261</v>
      </c>
      <c r="C21" s="861"/>
      <c r="D21" s="861"/>
      <c r="E21" s="861"/>
      <c r="F21" s="861"/>
      <c r="G21" s="861"/>
      <c r="H21" s="861"/>
      <c r="I21" s="861"/>
      <c r="J21" s="861"/>
      <c r="K21" s="861"/>
      <c r="L21" s="861"/>
      <c r="M21" s="881"/>
      <c r="N21" s="214"/>
      <c r="O21" s="214"/>
      <c r="P21" s="214"/>
      <c r="Q21" s="214"/>
    </row>
    <row r="22" spans="1:24" s="181" customFormat="1" ht="18" customHeight="1" x14ac:dyDescent="0.25">
      <c r="A22" s="262"/>
      <c r="B22" s="861" t="s">
        <v>314</v>
      </c>
      <c r="C22" s="861"/>
      <c r="D22" s="861"/>
      <c r="E22" s="861"/>
      <c r="F22" s="861"/>
      <c r="G22" s="861"/>
      <c r="H22" s="861"/>
      <c r="I22" s="861"/>
      <c r="J22" s="861"/>
      <c r="K22" s="861"/>
      <c r="L22" s="861"/>
      <c r="M22" s="881"/>
      <c r="N22" s="214"/>
      <c r="O22" s="214"/>
      <c r="P22" s="214"/>
      <c r="Q22" s="214"/>
    </row>
    <row r="23" spans="1:24" s="181" customFormat="1" ht="18" customHeight="1" thickBot="1" x14ac:dyDescent="0.3">
      <c r="A23" s="253"/>
      <c r="B23" s="882"/>
      <c r="C23" s="882"/>
      <c r="D23" s="882"/>
      <c r="E23" s="882"/>
      <c r="F23" s="882"/>
      <c r="G23" s="882"/>
      <c r="H23" s="882"/>
      <c r="I23" s="882"/>
      <c r="J23" s="882"/>
      <c r="K23" s="882"/>
      <c r="L23" s="882"/>
      <c r="M23" s="883"/>
      <c r="N23" s="214"/>
      <c r="O23" s="214"/>
      <c r="P23" s="214"/>
      <c r="Q23" s="214"/>
    </row>
    <row r="24" spans="1:24" s="181" customFormat="1" ht="18" customHeight="1" x14ac:dyDescent="0.25">
      <c r="A24" s="100" t="s">
        <v>177</v>
      </c>
      <c r="B24" s="16"/>
      <c r="C24" s="16"/>
      <c r="D24" s="98" t="s">
        <v>178</v>
      </c>
      <c r="E24" s="13"/>
      <c r="F24" s="13"/>
      <c r="G24" s="99"/>
      <c r="H24" s="87" t="s">
        <v>176</v>
      </c>
      <c r="I24" s="70"/>
      <c r="J24" s="70"/>
      <c r="K24" s="70"/>
      <c r="L24" s="70"/>
      <c r="M24" s="71"/>
      <c r="N24" s="214"/>
      <c r="O24" s="214"/>
      <c r="P24" s="214"/>
      <c r="Q24" s="214"/>
    </row>
    <row r="25" spans="1:24" s="181" customFormat="1" ht="18.75" customHeight="1" thickBot="1" x14ac:dyDescent="0.3">
      <c r="A25" s="638" t="s">
        <v>132</v>
      </c>
      <c r="B25" s="639"/>
      <c r="C25" s="640"/>
      <c r="D25" s="655" t="str">
        <f>VLOOKUP($A$25,'Mutual aid grades definitions'!$A:$E,2,FALSE)</f>
        <v xml:space="preserve"> </v>
      </c>
      <c r="E25" s="656"/>
      <c r="F25" s="656"/>
      <c r="G25" s="24"/>
      <c r="H25" s="657" t="str">
        <f>VLOOKUP($A$25,'Mutual aid grades definitions'!$A:$E,3,FALSE)</f>
        <v xml:space="preserve"> </v>
      </c>
      <c r="I25" s="657"/>
      <c r="J25" s="657"/>
      <c r="K25" s="657"/>
      <c r="L25" s="657"/>
      <c r="M25" s="658"/>
      <c r="N25" s="214"/>
      <c r="O25" s="214"/>
      <c r="P25" s="214"/>
      <c r="Q25" s="214"/>
      <c r="R25" s="892"/>
      <c r="S25" s="892"/>
      <c r="T25" s="892"/>
      <c r="U25" s="892"/>
      <c r="V25" s="892"/>
      <c r="W25" s="892"/>
      <c r="X25" s="892"/>
    </row>
    <row r="26" spans="1:24" s="181" customFormat="1" ht="18.75" thickBot="1" x14ac:dyDescent="0.3">
      <c r="A26" s="234"/>
      <c r="B26" s="235"/>
      <c r="C26" s="235"/>
      <c r="D26" s="235"/>
      <c r="E26" s="235"/>
      <c r="F26" s="235"/>
      <c r="G26" s="235"/>
      <c r="H26" s="236"/>
      <c r="I26" s="236"/>
      <c r="J26" s="236"/>
      <c r="K26" s="236"/>
      <c r="L26" s="236"/>
      <c r="M26" s="237"/>
      <c r="N26" s="214"/>
      <c r="O26" s="214"/>
      <c r="P26" s="214"/>
      <c r="Q26" s="214"/>
      <c r="R26" s="892"/>
      <c r="S26" s="892"/>
      <c r="T26" s="892"/>
      <c r="U26" s="892"/>
      <c r="V26" s="892"/>
      <c r="W26" s="892"/>
      <c r="X26" s="892"/>
    </row>
    <row r="27" spans="1:24" s="181" customFormat="1" ht="18.75" thickBot="1" x14ac:dyDescent="0.3">
      <c r="A27" s="867" t="s">
        <v>291</v>
      </c>
      <c r="B27" s="868"/>
      <c r="C27" s="868"/>
      <c r="D27" s="868"/>
      <c r="E27" s="868"/>
      <c r="F27" s="868"/>
      <c r="G27" s="868"/>
      <c r="H27" s="869"/>
      <c r="I27" s="229"/>
      <c r="J27" s="229"/>
      <c r="K27" s="229"/>
      <c r="L27" s="870"/>
      <c r="M27" s="871"/>
      <c r="N27" s="214"/>
      <c r="O27" s="214"/>
      <c r="P27" s="214"/>
      <c r="Q27" s="214"/>
    </row>
    <row r="28" spans="1:24" s="181" customFormat="1" ht="18.75" thickBot="1" x14ac:dyDescent="0.3">
      <c r="A28" s="217"/>
      <c r="B28" s="218"/>
      <c r="C28" s="218"/>
      <c r="D28" s="218"/>
      <c r="E28" s="218"/>
      <c r="F28" s="218"/>
      <c r="G28" s="218"/>
      <c r="H28" s="219"/>
      <c r="I28" s="219"/>
      <c r="J28" s="219"/>
      <c r="K28" s="219"/>
      <c r="L28" s="219"/>
      <c r="M28" s="220"/>
      <c r="N28" s="214"/>
      <c r="O28" s="214"/>
      <c r="P28" s="214"/>
      <c r="Q28" s="214"/>
    </row>
    <row r="29" spans="1:24" ht="18" customHeight="1" x14ac:dyDescent="0.2">
      <c r="A29" s="702" t="s">
        <v>293</v>
      </c>
      <c r="B29" s="703"/>
      <c r="C29" s="703"/>
      <c r="D29" s="703"/>
      <c r="E29" s="703"/>
      <c r="F29" s="703"/>
      <c r="G29" s="703"/>
      <c r="H29" s="704"/>
      <c r="I29" s="188"/>
      <c r="J29" s="667" t="s">
        <v>294</v>
      </c>
      <c r="K29" s="668"/>
      <c r="L29" s="668"/>
      <c r="M29" s="669"/>
    </row>
    <row r="30" spans="1:24" ht="18.75" thickBot="1" x14ac:dyDescent="0.25">
      <c r="A30" s="705"/>
      <c r="B30" s="706"/>
      <c r="C30" s="706"/>
      <c r="D30" s="706"/>
      <c r="E30" s="706"/>
      <c r="F30" s="706"/>
      <c r="G30" s="706"/>
      <c r="H30" s="707"/>
      <c r="I30" s="188"/>
      <c r="J30" s="670"/>
      <c r="K30" s="671"/>
      <c r="L30" s="671"/>
      <c r="M30" s="672"/>
    </row>
    <row r="31" spans="1:24" ht="15.75" thickBot="1" x14ac:dyDescent="0.25">
      <c r="A31" s="874" t="s">
        <v>309</v>
      </c>
      <c r="B31" s="875"/>
      <c r="C31" s="876"/>
      <c r="D31" s="675" t="s">
        <v>223</v>
      </c>
      <c r="E31" s="877"/>
      <c r="F31" s="676"/>
      <c r="G31" s="675" t="s">
        <v>288</v>
      </c>
      <c r="H31" s="676"/>
      <c r="I31" s="115"/>
      <c r="J31" s="222"/>
      <c r="K31" s="221"/>
      <c r="L31" s="675" t="s">
        <v>292</v>
      </c>
      <c r="M31" s="676"/>
    </row>
    <row r="32" spans="1:24" ht="15" customHeight="1" x14ac:dyDescent="0.2">
      <c r="A32" s="855" t="s">
        <v>287</v>
      </c>
      <c r="B32" s="856"/>
      <c r="C32" s="857"/>
      <c r="D32" s="878"/>
      <c r="E32" s="879"/>
      <c r="F32" s="880"/>
      <c r="G32" s="884"/>
      <c r="H32" s="885"/>
      <c r="I32" s="64"/>
      <c r="J32" s="259" t="str">
        <f>IF($C32="Specialist equipment",(F32*#REF!*G32),"")</f>
        <v/>
      </c>
      <c r="K32" s="260"/>
      <c r="L32" s="872" t="str">
        <f>IF(G32="","",G32/$L$27)</f>
        <v/>
      </c>
      <c r="M32" s="873"/>
    </row>
    <row r="33" spans="1:17" ht="15" customHeight="1" x14ac:dyDescent="0.2">
      <c r="A33" s="855" t="s">
        <v>282</v>
      </c>
      <c r="B33" s="856"/>
      <c r="C33" s="857"/>
      <c r="D33" s="834"/>
      <c r="E33" s="835"/>
      <c r="F33" s="836"/>
      <c r="G33" s="837"/>
      <c r="H33" s="838"/>
      <c r="I33" s="64"/>
      <c r="J33" s="259" t="str">
        <f>IF($C33="Specialist equipment",(F33*#REF!*G33),"")</f>
        <v/>
      </c>
      <c r="K33" s="260"/>
      <c r="L33" s="853" t="str">
        <f t="shared" ref="L33:L38" si="0">IF(G33="","",G33/$L$27)</f>
        <v/>
      </c>
      <c r="M33" s="854"/>
    </row>
    <row r="34" spans="1:17" ht="15" customHeight="1" x14ac:dyDescent="0.2">
      <c r="A34" s="855" t="s">
        <v>296</v>
      </c>
      <c r="B34" s="856"/>
      <c r="C34" s="857"/>
      <c r="D34" s="834"/>
      <c r="E34" s="835"/>
      <c r="F34" s="836"/>
      <c r="G34" s="837"/>
      <c r="H34" s="838"/>
      <c r="I34" s="64"/>
      <c r="J34" s="259" t="str">
        <f>IF($C34="Specialist equipment",(F34*#REF!*G34),"")</f>
        <v/>
      </c>
      <c r="K34" s="260"/>
      <c r="L34" s="853" t="str">
        <f t="shared" si="0"/>
        <v/>
      </c>
      <c r="M34" s="854"/>
    </row>
    <row r="35" spans="1:17" ht="15" customHeight="1" x14ac:dyDescent="0.2">
      <c r="A35" s="855" t="s">
        <v>283</v>
      </c>
      <c r="B35" s="856"/>
      <c r="C35" s="857"/>
      <c r="D35" s="834"/>
      <c r="E35" s="835"/>
      <c r="F35" s="836"/>
      <c r="G35" s="837"/>
      <c r="H35" s="838"/>
      <c r="I35" s="64"/>
      <c r="J35" s="259" t="str">
        <f>IF($C35="Specialist equipment",(F35*#REF!*G35),"")</f>
        <v/>
      </c>
      <c r="K35" s="260"/>
      <c r="L35" s="853" t="str">
        <f t="shared" si="0"/>
        <v/>
      </c>
      <c r="M35" s="854"/>
      <c r="N35" s="70"/>
    </row>
    <row r="36" spans="1:17" ht="15" customHeight="1" x14ac:dyDescent="0.2">
      <c r="A36" s="855" t="s">
        <v>286</v>
      </c>
      <c r="B36" s="856"/>
      <c r="C36" s="857"/>
      <c r="D36" s="834"/>
      <c r="E36" s="835"/>
      <c r="F36" s="836"/>
      <c r="G36" s="837"/>
      <c r="H36" s="838"/>
      <c r="I36" s="64"/>
      <c r="J36" s="259" t="str">
        <f>IF($C36="Specialist equipment",(F36*#REF!*G36),"")</f>
        <v/>
      </c>
      <c r="K36" s="260"/>
      <c r="L36" s="853" t="str">
        <f t="shared" si="0"/>
        <v/>
      </c>
      <c r="M36" s="854"/>
      <c r="N36" s="70"/>
    </row>
    <row r="37" spans="1:17" ht="15.75" customHeight="1" x14ac:dyDescent="0.2">
      <c r="A37" s="855" t="s">
        <v>285</v>
      </c>
      <c r="B37" s="856"/>
      <c r="C37" s="857"/>
      <c r="D37" s="834"/>
      <c r="E37" s="835"/>
      <c r="F37" s="836"/>
      <c r="G37" s="837"/>
      <c r="H37" s="838"/>
      <c r="I37" s="64"/>
      <c r="J37" s="259" t="str">
        <f>IF($C37="Specialist equipment",(F37*#REF!*G37),"")</f>
        <v/>
      </c>
      <c r="K37" s="260"/>
      <c r="L37" s="853" t="str">
        <f t="shared" si="0"/>
        <v/>
      </c>
      <c r="M37" s="854"/>
      <c r="N37" s="70"/>
    </row>
    <row r="38" spans="1:17" ht="16.5" thickBot="1" x14ac:dyDescent="0.25">
      <c r="A38" s="839" t="s">
        <v>284</v>
      </c>
      <c r="B38" s="840"/>
      <c r="C38" s="841"/>
      <c r="D38" s="842"/>
      <c r="E38" s="843"/>
      <c r="F38" s="844"/>
      <c r="G38" s="845"/>
      <c r="H38" s="846"/>
      <c r="I38" s="64"/>
      <c r="J38" s="259" t="str">
        <f>IF($C38="Specialist equipment",(F38*#REF!*G38),"")</f>
        <v/>
      </c>
      <c r="K38" s="260"/>
      <c r="L38" s="847" t="str">
        <f t="shared" si="0"/>
        <v/>
      </c>
      <c r="M38" s="848"/>
      <c r="N38" s="70"/>
    </row>
    <row r="39" spans="1:17" s="181" customFormat="1" ht="18.75" customHeight="1" thickBot="1" x14ac:dyDescent="0.3">
      <c r="A39" s="191"/>
      <c r="B39" s="223"/>
      <c r="C39" s="223"/>
      <c r="D39" s="223"/>
      <c r="E39" s="223"/>
      <c r="F39" s="223"/>
      <c r="G39" s="223"/>
      <c r="H39" s="229"/>
      <c r="I39" s="219"/>
      <c r="J39" s="849" t="s">
        <v>289</v>
      </c>
      <c r="K39" s="850"/>
      <c r="L39" s="851">
        <f>SUM(L32:M38)</f>
        <v>0</v>
      </c>
      <c r="M39" s="852"/>
      <c r="N39" s="226"/>
      <c r="O39" s="214"/>
      <c r="P39" s="214"/>
      <c r="Q39" s="214"/>
    </row>
    <row r="40" spans="1:17" s="181" customFormat="1" ht="12.75" customHeight="1" thickBot="1" x14ac:dyDescent="0.3">
      <c r="A40" s="191"/>
      <c r="B40" s="223"/>
      <c r="C40" s="223"/>
      <c r="D40" s="223"/>
      <c r="E40" s="223"/>
      <c r="F40" s="223"/>
      <c r="G40" s="223"/>
      <c r="H40" s="229"/>
      <c r="I40" s="219"/>
      <c r="J40" s="229"/>
      <c r="K40" s="229"/>
      <c r="L40" s="227"/>
      <c r="M40" s="238"/>
      <c r="N40" s="226"/>
      <c r="O40" s="214"/>
      <c r="P40" s="214"/>
      <c r="Q40" s="214"/>
    </row>
    <row r="41" spans="1:17" s="181" customFormat="1" ht="18.75" customHeight="1" thickBot="1" x14ac:dyDescent="0.3">
      <c r="A41" s="858" t="s">
        <v>295</v>
      </c>
      <c r="B41" s="859"/>
      <c r="C41" s="859"/>
      <c r="D41" s="859"/>
      <c r="E41" s="859"/>
      <c r="F41" s="859"/>
      <c r="G41" s="859"/>
      <c r="H41" s="860"/>
      <c r="I41" s="229"/>
      <c r="J41" s="229"/>
      <c r="K41" s="229"/>
      <c r="L41" s="851">
        <f>L39/208</f>
        <v>0</v>
      </c>
      <c r="M41" s="852"/>
      <c r="N41" s="261"/>
      <c r="O41" s="214"/>
      <c r="P41" s="214"/>
      <c r="Q41" s="214"/>
    </row>
    <row r="42" spans="1:17" s="181" customFormat="1" ht="18.75" thickBot="1" x14ac:dyDescent="0.3">
      <c r="A42" s="239"/>
      <c r="B42" s="240"/>
      <c r="C42" s="240"/>
      <c r="D42" s="240"/>
      <c r="E42" s="240"/>
      <c r="F42" s="240"/>
      <c r="G42" s="240"/>
      <c r="H42" s="240"/>
      <c r="I42" s="241"/>
      <c r="J42" s="241"/>
      <c r="K42" s="241"/>
      <c r="L42" s="241"/>
      <c r="M42" s="242"/>
      <c r="N42" s="226"/>
      <c r="O42" s="214"/>
      <c r="P42" s="214"/>
      <c r="Q42" s="214"/>
    </row>
    <row r="43" spans="1:17" s="181" customFormat="1" ht="18.75" thickBot="1" x14ac:dyDescent="0.3">
      <c r="A43" s="228"/>
      <c r="B43" s="228"/>
      <c r="C43" s="228"/>
      <c r="D43" s="228"/>
      <c r="E43" s="228"/>
      <c r="F43" s="228"/>
      <c r="G43" s="228"/>
      <c r="H43" s="228"/>
      <c r="I43" s="229"/>
      <c r="J43" s="229"/>
      <c r="K43" s="229"/>
      <c r="L43" s="229"/>
      <c r="M43" s="229"/>
      <c r="N43" s="226"/>
      <c r="O43" s="214"/>
      <c r="P43" s="214"/>
      <c r="Q43" s="214"/>
    </row>
    <row r="44" spans="1:17" s="181" customFormat="1" ht="18.75" thickBot="1" x14ac:dyDescent="0.3">
      <c r="A44" s="234"/>
      <c r="B44" s="235"/>
      <c r="C44" s="235"/>
      <c r="D44" s="235"/>
      <c r="E44" s="235"/>
      <c r="F44" s="235"/>
      <c r="G44" s="235"/>
      <c r="H44" s="236"/>
      <c r="I44" s="236"/>
      <c r="J44" s="236"/>
      <c r="K44" s="236"/>
      <c r="L44" s="236"/>
      <c r="M44" s="237"/>
      <c r="N44" s="214"/>
      <c r="O44" s="214"/>
      <c r="P44" s="214"/>
      <c r="Q44" s="214"/>
    </row>
    <row r="45" spans="1:17" s="181" customFormat="1" ht="18.75" thickBot="1" x14ac:dyDescent="0.3">
      <c r="A45" s="867" t="s">
        <v>303</v>
      </c>
      <c r="B45" s="868"/>
      <c r="C45" s="868"/>
      <c r="D45" s="868"/>
      <c r="E45" s="868"/>
      <c r="F45" s="868"/>
      <c r="G45" s="868"/>
      <c r="H45" s="869"/>
      <c r="I45" s="229"/>
      <c r="J45" s="229"/>
      <c r="K45" s="229"/>
      <c r="L45" s="870"/>
      <c r="M45" s="871"/>
      <c r="N45" s="214"/>
      <c r="O45" s="214"/>
      <c r="P45" s="214"/>
      <c r="Q45" s="214"/>
    </row>
    <row r="46" spans="1:17" s="181" customFormat="1" ht="18.75" thickBot="1" x14ac:dyDescent="0.3">
      <c r="A46" s="217"/>
      <c r="B46" s="218"/>
      <c r="C46" s="218"/>
      <c r="D46" s="218"/>
      <c r="E46" s="218"/>
      <c r="F46" s="218"/>
      <c r="G46" s="218"/>
      <c r="H46" s="219"/>
      <c r="I46" s="219"/>
      <c r="J46" s="219"/>
      <c r="K46" s="219"/>
      <c r="L46" s="219"/>
      <c r="M46" s="220"/>
      <c r="N46" s="214"/>
      <c r="O46" s="214"/>
      <c r="P46" s="214"/>
      <c r="Q46" s="214"/>
    </row>
    <row r="47" spans="1:17" ht="18" x14ac:dyDescent="0.25">
      <c r="A47" s="702" t="s">
        <v>297</v>
      </c>
      <c r="B47" s="703"/>
      <c r="C47" s="703"/>
      <c r="D47" s="703"/>
      <c r="E47" s="703"/>
      <c r="F47" s="703"/>
      <c r="G47" s="703"/>
      <c r="H47" s="704"/>
      <c r="I47" s="188"/>
      <c r="J47" s="667" t="s">
        <v>302</v>
      </c>
      <c r="K47" s="668"/>
      <c r="L47" s="668"/>
      <c r="M47" s="669"/>
      <c r="N47" s="214"/>
      <c r="O47" s="214"/>
      <c r="P47" s="214"/>
      <c r="Q47" s="214"/>
    </row>
    <row r="48" spans="1:17" ht="18.75" thickBot="1" x14ac:dyDescent="0.3">
      <c r="A48" s="705"/>
      <c r="B48" s="706"/>
      <c r="C48" s="706"/>
      <c r="D48" s="706"/>
      <c r="E48" s="706"/>
      <c r="F48" s="706"/>
      <c r="G48" s="706"/>
      <c r="H48" s="707"/>
      <c r="I48" s="188"/>
      <c r="J48" s="670"/>
      <c r="K48" s="671"/>
      <c r="L48" s="671"/>
      <c r="M48" s="672"/>
      <c r="N48" s="214"/>
      <c r="O48" s="214"/>
      <c r="P48" s="214"/>
      <c r="Q48" s="214"/>
    </row>
    <row r="49" spans="1:17" ht="15.75" thickBot="1" x14ac:dyDescent="0.25">
      <c r="A49" s="874" t="s">
        <v>309</v>
      </c>
      <c r="B49" s="875"/>
      <c r="C49" s="876"/>
      <c r="D49" s="675" t="s">
        <v>223</v>
      </c>
      <c r="E49" s="877"/>
      <c r="F49" s="676"/>
      <c r="G49" s="675" t="s">
        <v>288</v>
      </c>
      <c r="H49" s="676"/>
      <c r="I49" s="115"/>
      <c r="J49" s="222"/>
      <c r="K49" s="221"/>
      <c r="L49" s="675" t="s">
        <v>308</v>
      </c>
      <c r="M49" s="676"/>
      <c r="N49" s="213"/>
      <c r="O49" s="215"/>
      <c r="P49" s="215"/>
      <c r="Q49" s="215"/>
    </row>
    <row r="50" spans="1:17" ht="15.75" x14ac:dyDescent="0.2">
      <c r="A50" s="855" t="s">
        <v>304</v>
      </c>
      <c r="B50" s="856"/>
      <c r="C50" s="857"/>
      <c r="D50" s="834"/>
      <c r="E50" s="835"/>
      <c r="F50" s="836"/>
      <c r="G50" s="837"/>
      <c r="H50" s="838"/>
      <c r="I50" s="64"/>
      <c r="J50" s="259" t="str">
        <f>IF($C50="Specialist equipment",(F50*#REF!*G50),"")</f>
        <v/>
      </c>
      <c r="K50" s="260"/>
      <c r="L50" s="872" t="str">
        <f>IF(G50="","",G50/$L$45)</f>
        <v/>
      </c>
      <c r="M50" s="873"/>
      <c r="N50" s="213"/>
      <c r="Q50" s="213"/>
    </row>
    <row r="51" spans="1:17" ht="15.75" x14ac:dyDescent="0.2">
      <c r="A51" s="855" t="s">
        <v>300</v>
      </c>
      <c r="B51" s="856"/>
      <c r="C51" s="857"/>
      <c r="D51" s="834"/>
      <c r="E51" s="835"/>
      <c r="F51" s="836"/>
      <c r="G51" s="837"/>
      <c r="H51" s="838"/>
      <c r="I51" s="64"/>
      <c r="J51" s="259" t="str">
        <f>IF($C51="Specialist equipment",(F51*#REF!*G51),"")</f>
        <v/>
      </c>
      <c r="K51" s="260"/>
      <c r="L51" s="853" t="str">
        <f t="shared" ref="L51:L56" si="1">IF(G51="","",G51/$L$45)</f>
        <v/>
      </c>
      <c r="M51" s="854"/>
      <c r="N51" s="213"/>
      <c r="Q51" s="213"/>
    </row>
    <row r="52" spans="1:17" ht="15.75" x14ac:dyDescent="0.2">
      <c r="A52" s="855" t="s">
        <v>305</v>
      </c>
      <c r="B52" s="856"/>
      <c r="C52" s="857"/>
      <c r="D52" s="230"/>
      <c r="E52" s="231"/>
      <c r="F52" s="232"/>
      <c r="G52" s="837"/>
      <c r="H52" s="838"/>
      <c r="I52" s="64"/>
      <c r="J52" s="259"/>
      <c r="K52" s="260"/>
      <c r="L52" s="853" t="str">
        <f t="shared" si="1"/>
        <v/>
      </c>
      <c r="M52" s="854"/>
      <c r="N52" s="213"/>
      <c r="Q52" s="213"/>
    </row>
    <row r="53" spans="1:17" ht="15.75" x14ac:dyDescent="0.2">
      <c r="A53" s="855" t="s">
        <v>301</v>
      </c>
      <c r="B53" s="856"/>
      <c r="C53" s="857"/>
      <c r="D53" s="834"/>
      <c r="E53" s="835"/>
      <c r="F53" s="836"/>
      <c r="G53" s="837"/>
      <c r="H53" s="838"/>
      <c r="I53" s="64"/>
      <c r="J53" s="259" t="str">
        <f>IF($C53="Specialist equipment",(F53*#REF!*G53),"")</f>
        <v/>
      </c>
      <c r="K53" s="260"/>
      <c r="L53" s="853" t="str">
        <f t="shared" si="1"/>
        <v/>
      </c>
      <c r="M53" s="854"/>
      <c r="N53" s="213"/>
      <c r="Q53" s="213"/>
    </row>
    <row r="54" spans="1:17" ht="15.75" x14ac:dyDescent="0.2">
      <c r="A54" s="855" t="s">
        <v>298</v>
      </c>
      <c r="B54" s="856"/>
      <c r="C54" s="857"/>
      <c r="D54" s="834"/>
      <c r="E54" s="835"/>
      <c r="F54" s="836"/>
      <c r="G54" s="837"/>
      <c r="H54" s="838"/>
      <c r="I54" s="64"/>
      <c r="J54" s="259" t="str">
        <f>IF($C54="Specialist equipment",(F54*#REF!*G54),"")</f>
        <v/>
      </c>
      <c r="K54" s="260"/>
      <c r="L54" s="853" t="str">
        <f t="shared" si="1"/>
        <v/>
      </c>
      <c r="M54" s="854"/>
      <c r="N54" s="213"/>
      <c r="Q54" s="213"/>
    </row>
    <row r="55" spans="1:17" ht="15.75" x14ac:dyDescent="0.2">
      <c r="A55" s="855" t="s">
        <v>299</v>
      </c>
      <c r="B55" s="856"/>
      <c r="C55" s="857"/>
      <c r="D55" s="834"/>
      <c r="E55" s="835"/>
      <c r="F55" s="836"/>
      <c r="G55" s="837"/>
      <c r="H55" s="838"/>
      <c r="I55" s="64"/>
      <c r="J55" s="259" t="str">
        <f>IF($C55="Specialist equipment",(F55*#REF!*G55),"")</f>
        <v/>
      </c>
      <c r="K55" s="260"/>
      <c r="L55" s="853" t="str">
        <f t="shared" si="1"/>
        <v/>
      </c>
      <c r="M55" s="854"/>
      <c r="N55" s="213"/>
      <c r="Q55" s="213"/>
    </row>
    <row r="56" spans="1:17" ht="16.5" thickBot="1" x14ac:dyDescent="0.25">
      <c r="A56" s="839" t="s">
        <v>284</v>
      </c>
      <c r="B56" s="840"/>
      <c r="C56" s="841"/>
      <c r="D56" s="842"/>
      <c r="E56" s="843"/>
      <c r="F56" s="844"/>
      <c r="G56" s="845"/>
      <c r="H56" s="846"/>
      <c r="I56" s="64"/>
      <c r="J56" s="259" t="str">
        <f>IF($C56="Specialist equipment",(F56*#REF!*G56),"")</f>
        <v/>
      </c>
      <c r="K56" s="260"/>
      <c r="L56" s="847" t="str">
        <f t="shared" si="1"/>
        <v/>
      </c>
      <c r="M56" s="848"/>
      <c r="N56" s="213"/>
      <c r="Q56" s="213"/>
    </row>
    <row r="57" spans="1:17" ht="18.75" thickBot="1" x14ac:dyDescent="0.3">
      <c r="A57" s="191"/>
      <c r="B57" s="223"/>
      <c r="C57" s="223"/>
      <c r="D57" s="223"/>
      <c r="E57" s="223"/>
      <c r="F57" s="223"/>
      <c r="G57" s="223"/>
      <c r="H57" s="229"/>
      <c r="I57" s="219"/>
      <c r="J57" s="849" t="s">
        <v>289</v>
      </c>
      <c r="K57" s="850"/>
      <c r="L57" s="851">
        <f>SUM(L50:M56)</f>
        <v>0</v>
      </c>
      <c r="M57" s="852"/>
      <c r="N57" s="213"/>
      <c r="Q57" s="213"/>
    </row>
    <row r="58" spans="1:17" ht="16.5" customHeight="1" thickBot="1" x14ac:dyDescent="0.3">
      <c r="A58" s="191"/>
      <c r="B58" s="223"/>
      <c r="C58" s="223"/>
      <c r="D58" s="223"/>
      <c r="E58" s="223"/>
      <c r="F58" s="223"/>
      <c r="G58" s="223"/>
      <c r="H58" s="229"/>
      <c r="I58" s="219"/>
      <c r="J58" s="229"/>
      <c r="K58" s="229"/>
      <c r="L58" s="227"/>
      <c r="M58" s="238"/>
      <c r="N58" s="213"/>
      <c r="O58" s="216"/>
      <c r="P58" s="213"/>
      <c r="Q58" s="213"/>
    </row>
    <row r="59" spans="1:17" ht="16.5" customHeight="1" thickBot="1" x14ac:dyDescent="0.3">
      <c r="A59" s="858" t="s">
        <v>306</v>
      </c>
      <c r="B59" s="859"/>
      <c r="C59" s="859"/>
      <c r="D59" s="859"/>
      <c r="E59" s="859"/>
      <c r="F59" s="859"/>
      <c r="G59" s="859"/>
      <c r="H59" s="860"/>
      <c r="I59" s="229"/>
      <c r="J59" s="229"/>
      <c r="K59" s="229"/>
      <c r="L59" s="851">
        <f>L57/208</f>
        <v>0</v>
      </c>
      <c r="M59" s="852"/>
      <c r="N59" s="213"/>
      <c r="O59" s="216"/>
      <c r="P59" s="213"/>
      <c r="Q59" s="213"/>
    </row>
    <row r="60" spans="1:17" s="72" customFormat="1" ht="16.5" customHeight="1" thickBot="1" x14ac:dyDescent="0.3">
      <c r="A60" s="243"/>
      <c r="B60" s="244"/>
      <c r="C60" s="244"/>
      <c r="D60" s="244"/>
      <c r="E60" s="244"/>
      <c r="F60" s="244"/>
      <c r="G60" s="244"/>
      <c r="H60" s="244"/>
      <c r="I60" s="241"/>
      <c r="J60" s="241"/>
      <c r="K60" s="241"/>
      <c r="L60" s="245"/>
      <c r="M60" s="246"/>
      <c r="N60" s="213"/>
      <c r="O60" s="216"/>
      <c r="P60" s="213"/>
      <c r="Q60" s="213"/>
    </row>
    <row r="61" spans="1:17" s="72" customFormat="1" ht="16.5" customHeight="1" thickBot="1" x14ac:dyDescent="0.3">
      <c r="A61" s="250"/>
      <c r="B61" s="250"/>
      <c r="C61" s="250"/>
      <c r="D61" s="250"/>
      <c r="E61" s="250"/>
      <c r="F61" s="250"/>
      <c r="G61" s="250"/>
      <c r="H61" s="250"/>
      <c r="I61" s="229"/>
      <c r="J61" s="229"/>
      <c r="K61" s="229"/>
      <c r="L61" s="249"/>
      <c r="M61" s="249"/>
      <c r="N61" s="213"/>
      <c r="O61" s="106"/>
      <c r="P61" s="85"/>
      <c r="Q61" s="213"/>
    </row>
    <row r="62" spans="1:17" ht="18" customHeight="1" x14ac:dyDescent="0.2">
      <c r="A62" s="886" t="s">
        <v>342</v>
      </c>
      <c r="B62" s="887"/>
      <c r="C62" s="887"/>
      <c r="D62" s="887"/>
      <c r="E62" s="887"/>
      <c r="F62" s="887"/>
      <c r="G62" s="887"/>
      <c r="H62" s="887"/>
      <c r="I62" s="887"/>
      <c r="J62" s="887"/>
      <c r="K62" s="887"/>
      <c r="L62" s="887"/>
      <c r="M62" s="888"/>
      <c r="O62" s="263"/>
      <c r="P62" s="263"/>
    </row>
    <row r="63" spans="1:17" ht="15.75" thickBot="1" x14ac:dyDescent="0.25">
      <c r="A63" s="889"/>
      <c r="B63" s="890"/>
      <c r="C63" s="890"/>
      <c r="D63" s="890"/>
      <c r="E63" s="890"/>
      <c r="F63" s="890"/>
      <c r="G63" s="890"/>
      <c r="H63" s="890"/>
      <c r="I63" s="890"/>
      <c r="J63" s="890"/>
      <c r="K63" s="890"/>
      <c r="L63" s="890"/>
      <c r="M63" s="891"/>
      <c r="O63" s="263"/>
      <c r="P63" s="263"/>
    </row>
    <row r="64" spans="1:17" ht="18.75" thickBot="1" x14ac:dyDescent="0.3">
      <c r="A64" s="240"/>
      <c r="B64" s="240"/>
      <c r="C64" s="240"/>
      <c r="D64" s="240"/>
      <c r="E64" s="240"/>
      <c r="F64" s="240"/>
      <c r="G64" s="240"/>
      <c r="H64" s="240"/>
      <c r="I64" s="229"/>
      <c r="J64" s="241"/>
      <c r="K64" s="241"/>
      <c r="L64" s="241"/>
      <c r="M64" s="241"/>
      <c r="O64" s="263"/>
      <c r="P64" s="263"/>
    </row>
    <row r="65" spans="1:16" ht="18" x14ac:dyDescent="0.25">
      <c r="A65" s="702" t="s">
        <v>266</v>
      </c>
      <c r="B65" s="703"/>
      <c r="C65" s="703"/>
      <c r="D65" s="703"/>
      <c r="E65" s="703"/>
      <c r="F65" s="703"/>
      <c r="G65" s="703"/>
      <c r="H65" s="704"/>
      <c r="I65" s="254"/>
      <c r="J65" s="688" t="s">
        <v>267</v>
      </c>
      <c r="K65" s="689"/>
      <c r="L65" s="690"/>
      <c r="M65" s="691"/>
      <c r="O65" s="263"/>
      <c r="P65" s="263"/>
    </row>
    <row r="66" spans="1:16" ht="18.75" thickBot="1" x14ac:dyDescent="0.3">
      <c r="A66" s="705"/>
      <c r="B66" s="706"/>
      <c r="C66" s="706"/>
      <c r="D66" s="706"/>
      <c r="E66" s="706"/>
      <c r="F66" s="706"/>
      <c r="G66" s="706"/>
      <c r="H66" s="707"/>
      <c r="I66" s="187"/>
      <c r="J66" s="692"/>
      <c r="K66" s="693"/>
      <c r="L66" s="694"/>
      <c r="M66" s="695"/>
      <c r="O66" s="85" t="str">
        <f>CONCATENATE('MA CLAIM FORM'!A$40&amp;C68)</f>
        <v>Choose Mutual Aid GradePlease Choose</v>
      </c>
      <c r="P66" s="85"/>
    </row>
    <row r="67" spans="1:16" ht="39" thickBot="1" x14ac:dyDescent="0.25">
      <c r="A67" s="116" t="s">
        <v>0</v>
      </c>
      <c r="B67" s="116" t="s">
        <v>1</v>
      </c>
      <c r="C67" s="116" t="s">
        <v>189</v>
      </c>
      <c r="D67" s="118" t="s">
        <v>3</v>
      </c>
      <c r="E67" s="413" t="s">
        <v>385</v>
      </c>
      <c r="F67" s="116" t="s">
        <v>2</v>
      </c>
      <c r="G67" s="116" t="s">
        <v>335</v>
      </c>
      <c r="H67" s="118" t="s">
        <v>4</v>
      </c>
      <c r="I67" s="123"/>
      <c r="J67" s="116" t="s">
        <v>192</v>
      </c>
      <c r="K67" s="124" t="s">
        <v>382</v>
      </c>
      <c r="L67" s="124" t="s">
        <v>265</v>
      </c>
      <c r="M67" s="125" t="s">
        <v>193</v>
      </c>
      <c r="O67" s="85" t="str">
        <f>CONCATENATE('MA CLAIM FORM'!A$40&amp;C69)</f>
        <v>Choose Mutual Aid GradePlease Choose</v>
      </c>
      <c r="P67" s="85"/>
    </row>
    <row r="68" spans="1:16" ht="16.5" customHeight="1" x14ac:dyDescent="0.2">
      <c r="A68" s="129"/>
      <c r="B68" s="130"/>
      <c r="C68" s="138" t="s">
        <v>191</v>
      </c>
      <c r="D68" s="344"/>
      <c r="E68" s="588" t="str">
        <f>$A$25</f>
        <v>Choose Mutual Aid Grade</v>
      </c>
      <c r="F68" s="276"/>
      <c r="G68" s="276"/>
      <c r="H68" s="277"/>
      <c r="I68" s="40"/>
      <c r="J68" s="373" t="str">
        <f>IF(F68="","",VLOOKUP(O68,Rates!B:D,3,FALSE))</f>
        <v/>
      </c>
      <c r="K68" s="411" t="str">
        <f>J68</f>
        <v/>
      </c>
      <c r="L68" s="412">
        <f t="shared" ref="L68:L75" si="2">F68*G68*H68</f>
        <v>0</v>
      </c>
      <c r="M68" s="397" t="str">
        <f>IF(F68="","",IF(K68=J68,(J68*L68),(K68*L68)))</f>
        <v/>
      </c>
      <c r="O68" s="85" t="str">
        <f>CONCATENATE(E68&amp;C68)</f>
        <v>Choose Mutual Aid GradePlease Choose</v>
      </c>
      <c r="P68" s="85"/>
    </row>
    <row r="69" spans="1:16" ht="15.75" x14ac:dyDescent="0.2">
      <c r="A69" s="129"/>
      <c r="B69" s="130"/>
      <c r="C69" s="138" t="s">
        <v>191</v>
      </c>
      <c r="D69" s="345"/>
      <c r="E69" s="588" t="str">
        <f t="shared" ref="E69:E75" si="3">$A$25</f>
        <v>Choose Mutual Aid Grade</v>
      </c>
      <c r="F69" s="276"/>
      <c r="G69" s="276"/>
      <c r="H69" s="277"/>
      <c r="I69" s="41"/>
      <c r="J69" s="360" t="str">
        <f>IF(F69="","",VLOOKUP(O69,Rates!B:D,3,FALSE))</f>
        <v/>
      </c>
      <c r="K69" s="407" t="str">
        <f t="shared" ref="K69:K75" si="4">J69</f>
        <v/>
      </c>
      <c r="L69" s="404">
        <f t="shared" si="2"/>
        <v>0</v>
      </c>
      <c r="M69" s="362" t="str">
        <f t="shared" ref="M69:M75" si="5">IF(F69="","",IF(K69=J69,(J69*L69),(K69*L69)))</f>
        <v/>
      </c>
      <c r="O69" s="85" t="str">
        <f t="shared" ref="O69:O75" si="6">CONCATENATE(E69&amp;C69)</f>
        <v>Choose Mutual Aid GradePlease Choose</v>
      </c>
      <c r="P69" s="85"/>
    </row>
    <row r="70" spans="1:16" ht="15.75" x14ac:dyDescent="0.2">
      <c r="A70" s="129"/>
      <c r="B70" s="130"/>
      <c r="C70" s="138" t="s">
        <v>191</v>
      </c>
      <c r="D70" s="343"/>
      <c r="E70" s="588" t="str">
        <f t="shared" si="3"/>
        <v>Choose Mutual Aid Grade</v>
      </c>
      <c r="F70" s="276"/>
      <c r="G70" s="276"/>
      <c r="H70" s="277"/>
      <c r="I70" s="41"/>
      <c r="J70" s="408" t="str">
        <f>IF(F70="","",VLOOKUP(O68,Rates!B:E,3,FALSE))</f>
        <v/>
      </c>
      <c r="K70" s="407" t="str">
        <f t="shared" si="4"/>
        <v/>
      </c>
      <c r="L70" s="404">
        <f t="shared" si="2"/>
        <v>0</v>
      </c>
      <c r="M70" s="362" t="str">
        <f t="shared" si="5"/>
        <v/>
      </c>
      <c r="O70" s="85" t="str">
        <f t="shared" si="6"/>
        <v>Choose Mutual Aid GradePlease Choose</v>
      </c>
      <c r="P70" s="85"/>
    </row>
    <row r="71" spans="1:16" ht="15.75" x14ac:dyDescent="0.2">
      <c r="A71" s="129"/>
      <c r="B71" s="130"/>
      <c r="C71" s="138" t="s">
        <v>191</v>
      </c>
      <c r="D71" s="343"/>
      <c r="E71" s="588" t="str">
        <f t="shared" si="3"/>
        <v>Choose Mutual Aid Grade</v>
      </c>
      <c r="F71" s="276"/>
      <c r="G71" s="276"/>
      <c r="H71" s="277"/>
      <c r="I71" s="41"/>
      <c r="J71" s="408" t="str">
        <f>IF(F71="","",VLOOKUP(O69,Rates!B:E,3,FALSE))</f>
        <v/>
      </c>
      <c r="K71" s="407" t="str">
        <f t="shared" si="4"/>
        <v/>
      </c>
      <c r="L71" s="404">
        <f t="shared" si="2"/>
        <v>0</v>
      </c>
      <c r="M71" s="362" t="str">
        <f t="shared" si="5"/>
        <v/>
      </c>
      <c r="O71" s="85" t="str">
        <f t="shared" si="6"/>
        <v>Choose Mutual Aid GradePlease Choose</v>
      </c>
      <c r="P71" s="85"/>
    </row>
    <row r="72" spans="1:16" ht="15.75" x14ac:dyDescent="0.2">
      <c r="A72" s="129"/>
      <c r="B72" s="130"/>
      <c r="C72" s="138" t="s">
        <v>191</v>
      </c>
      <c r="D72" s="343"/>
      <c r="E72" s="588" t="str">
        <f t="shared" si="3"/>
        <v>Choose Mutual Aid Grade</v>
      </c>
      <c r="F72" s="276"/>
      <c r="G72" s="276"/>
      <c r="H72" s="277"/>
      <c r="I72" s="41"/>
      <c r="J72" s="408" t="str">
        <f>IF(F72="","",VLOOKUP(O70,Rates!B:E,3,FALSE))</f>
        <v/>
      </c>
      <c r="K72" s="407" t="str">
        <f t="shared" si="4"/>
        <v/>
      </c>
      <c r="L72" s="404">
        <f t="shared" si="2"/>
        <v>0</v>
      </c>
      <c r="M72" s="362" t="str">
        <f t="shared" si="5"/>
        <v/>
      </c>
      <c r="O72" s="85" t="str">
        <f t="shared" si="6"/>
        <v>Choose Mutual Aid GradePlease Choose</v>
      </c>
      <c r="P72" s="85"/>
    </row>
    <row r="73" spans="1:16" ht="15.75" x14ac:dyDescent="0.2">
      <c r="A73" s="129"/>
      <c r="B73" s="130"/>
      <c r="C73" s="138" t="s">
        <v>191</v>
      </c>
      <c r="D73" s="343"/>
      <c r="E73" s="588" t="str">
        <f t="shared" si="3"/>
        <v>Choose Mutual Aid Grade</v>
      </c>
      <c r="F73" s="276"/>
      <c r="G73" s="276"/>
      <c r="H73" s="277"/>
      <c r="I73" s="41"/>
      <c r="J73" s="408" t="str">
        <f>IF(F73="","",VLOOKUP(O71,Rates!B:E,3,FALSE))</f>
        <v/>
      </c>
      <c r="K73" s="407" t="str">
        <f t="shared" si="4"/>
        <v/>
      </c>
      <c r="L73" s="404">
        <f t="shared" si="2"/>
        <v>0</v>
      </c>
      <c r="M73" s="362" t="str">
        <f t="shared" si="5"/>
        <v/>
      </c>
      <c r="O73" s="85" t="str">
        <f t="shared" si="6"/>
        <v>Choose Mutual Aid GradePlease Choose</v>
      </c>
      <c r="P73" s="85"/>
    </row>
    <row r="74" spans="1:16" ht="15.75" x14ac:dyDescent="0.2">
      <c r="A74" s="129"/>
      <c r="B74" s="130"/>
      <c r="C74" s="138" t="s">
        <v>191</v>
      </c>
      <c r="D74" s="343"/>
      <c r="E74" s="588" t="str">
        <f t="shared" si="3"/>
        <v>Choose Mutual Aid Grade</v>
      </c>
      <c r="F74" s="276"/>
      <c r="G74" s="276"/>
      <c r="H74" s="277"/>
      <c r="I74" s="41"/>
      <c r="J74" s="408" t="str">
        <f>IF(F74="","",VLOOKUP(O72,Rates!B:E,3,FALSE))</f>
        <v/>
      </c>
      <c r="K74" s="407" t="str">
        <f t="shared" si="4"/>
        <v/>
      </c>
      <c r="L74" s="404">
        <f t="shared" si="2"/>
        <v>0</v>
      </c>
      <c r="M74" s="362" t="str">
        <f t="shared" si="5"/>
        <v/>
      </c>
      <c r="O74" s="85" t="str">
        <f t="shared" si="6"/>
        <v>Choose Mutual Aid GradePlease Choose</v>
      </c>
      <c r="P74" s="263"/>
    </row>
    <row r="75" spans="1:16" ht="16.5" thickBot="1" x14ac:dyDescent="0.25">
      <c r="A75" s="212"/>
      <c r="B75" s="131"/>
      <c r="C75" s="139" t="s">
        <v>191</v>
      </c>
      <c r="D75" s="346"/>
      <c r="E75" s="589" t="str">
        <f t="shared" si="3"/>
        <v>Choose Mutual Aid Grade</v>
      </c>
      <c r="F75" s="278"/>
      <c r="G75" s="278"/>
      <c r="H75" s="279"/>
      <c r="I75" s="41"/>
      <c r="J75" s="409" t="str">
        <f>IF(F75="","",VLOOKUP(O73,Rates!B:E,3,FALSE))</f>
        <v/>
      </c>
      <c r="K75" s="410" t="str">
        <f t="shared" si="4"/>
        <v/>
      </c>
      <c r="L75" s="405">
        <f t="shared" si="2"/>
        <v>0</v>
      </c>
      <c r="M75" s="363" t="str">
        <f t="shared" si="5"/>
        <v/>
      </c>
      <c r="O75" s="85" t="str">
        <f t="shared" si="6"/>
        <v>Choose Mutual Aid GradePlease Choose</v>
      </c>
    </row>
    <row r="76" spans="1:16" ht="15.75" thickBot="1" x14ac:dyDescent="0.25">
      <c r="A76" s="41"/>
      <c r="B76" s="41"/>
      <c r="C76" s="41"/>
      <c r="D76" s="41"/>
      <c r="E76" s="41"/>
      <c r="F76" s="41"/>
      <c r="G76" s="41"/>
      <c r="H76" s="41"/>
      <c r="I76" s="64"/>
      <c r="J76" s="140"/>
      <c r="K76" s="631" t="s">
        <v>270</v>
      </c>
      <c r="L76" s="701"/>
      <c r="M76" s="364">
        <f>SUM(M68:M75)</f>
        <v>0</v>
      </c>
    </row>
    <row r="77" spans="1:16" ht="16.5" thickBot="1" x14ac:dyDescent="0.25">
      <c r="A77" s="41"/>
      <c r="B77" s="41"/>
      <c r="C77" s="41"/>
      <c r="D77" s="41"/>
      <c r="E77" s="41"/>
      <c r="F77" s="41"/>
      <c r="G77" s="41"/>
      <c r="H77" s="41"/>
      <c r="I77" s="64"/>
      <c r="J77" s="193"/>
      <c r="K77" s="420"/>
      <c r="L77" s="420"/>
      <c r="M77" s="421"/>
    </row>
    <row r="78" spans="1:16" ht="18" x14ac:dyDescent="0.2">
      <c r="A78" s="725" t="s">
        <v>371</v>
      </c>
      <c r="B78" s="726"/>
      <c r="C78" s="726"/>
      <c r="D78" s="726"/>
      <c r="E78" s="726"/>
      <c r="F78" s="726"/>
      <c r="G78" s="726"/>
      <c r="H78" s="727"/>
      <c r="I78" s="188"/>
      <c r="J78" s="667" t="s">
        <v>370</v>
      </c>
      <c r="K78" s="900"/>
      <c r="L78" s="900"/>
      <c r="M78" s="901"/>
    </row>
    <row r="79" spans="1:16" ht="18.75" thickBot="1" x14ac:dyDescent="0.25">
      <c r="A79" s="728"/>
      <c r="B79" s="729"/>
      <c r="C79" s="729"/>
      <c r="D79" s="729"/>
      <c r="E79" s="729"/>
      <c r="F79" s="729"/>
      <c r="G79" s="729"/>
      <c r="H79" s="730"/>
      <c r="I79" s="188"/>
      <c r="J79" s="670"/>
      <c r="K79" s="671"/>
      <c r="L79" s="671"/>
      <c r="M79" s="672"/>
    </row>
    <row r="80" spans="1:16" ht="51.75" thickBot="1" x14ac:dyDescent="0.25">
      <c r="A80" s="121" t="s">
        <v>0</v>
      </c>
      <c r="B80" s="121" t="s">
        <v>1</v>
      </c>
      <c r="C80" s="122" t="s">
        <v>232</v>
      </c>
      <c r="D80" s="122" t="s">
        <v>223</v>
      </c>
      <c r="E80" s="122" t="s">
        <v>204</v>
      </c>
      <c r="F80" s="122" t="s">
        <v>203</v>
      </c>
      <c r="G80" s="122" t="s">
        <v>227</v>
      </c>
      <c r="H80" s="122" t="s">
        <v>318</v>
      </c>
      <c r="I80" s="115"/>
      <c r="J80" s="394" t="s">
        <v>228</v>
      </c>
      <c r="K80" s="394" t="s">
        <v>229</v>
      </c>
      <c r="L80" s="395" t="s">
        <v>230</v>
      </c>
      <c r="M80" s="396" t="s">
        <v>325</v>
      </c>
    </row>
    <row r="81" spans="1:17" ht="15.75" x14ac:dyDescent="0.2">
      <c r="A81" s="294"/>
      <c r="B81" s="289"/>
      <c r="C81" s="290" t="s">
        <v>191</v>
      </c>
      <c r="D81" s="295"/>
      <c r="E81" s="280"/>
      <c r="F81" s="280"/>
      <c r="G81" s="389" t="str">
        <f>IF(C81="please Choose"," ",VLOOKUP(C81,Equipment!$A$42:$B$48,2,FALSE))</f>
        <v xml:space="preserve"> </v>
      </c>
      <c r="H81" s="358"/>
      <c r="I81" s="64"/>
      <c r="J81" s="373" t="str">
        <f>IF($C81="Basic Overnight",(E81*F81*G81),IF($C81="Enhanced Overnight/Hardship",(E81*F81*VLOOKUP("Basic Overnight",Equipment!$A$42:$B$48,2,FALSE)),""))</f>
        <v/>
      </c>
      <c r="K81" s="391" t="str">
        <f>IF($C81="Hardship Only",(E81*F81*G81),IF($C81="Enhanced Overnight/Hardship",(E81*F81*VLOOKUP("Hardship Only",Equipment!$A$42:$B$48,2,FALSE)),""))</f>
        <v/>
      </c>
      <c r="L81" s="301" t="str">
        <f>IF($H81="","",(E81*H81))</f>
        <v/>
      </c>
      <c r="M81" s="397" t="str">
        <f>IF(F81="","",(SUM(J81:L81)*1.138))</f>
        <v/>
      </c>
    </row>
    <row r="82" spans="1:17" ht="15.75" x14ac:dyDescent="0.2">
      <c r="A82" s="296"/>
      <c r="B82" s="297"/>
      <c r="C82" s="290" t="s">
        <v>191</v>
      </c>
      <c r="D82" s="297"/>
      <c r="E82" s="281"/>
      <c r="F82" s="281"/>
      <c r="G82" s="389" t="str">
        <f>IF(C82="please Choose"," ",VLOOKUP(C82,Equipment!$A$42:$B$48,2,FALSE))</f>
        <v xml:space="preserve"> </v>
      </c>
      <c r="H82" s="358"/>
      <c r="I82" s="64"/>
      <c r="J82" s="360" t="str">
        <f>IF($C82="Basic Overnight",(E82*F82*G82),IF($C82="Enhanced Overnight/Hardship",(E82*F82*VLOOKUP("Basic Overnight",Equipment!$A$42:$B$48,2,FALSE)),""))</f>
        <v/>
      </c>
      <c r="K82" s="392" t="str">
        <f>IF($C82="Hardship Only",(E82*F82*G82),IF($C82="Enhanced Overnight/Hardship",(E82*F82*VLOOKUP("Hardship Only",Equipment!$A$42:$B$48,2,FALSE)),""))</f>
        <v/>
      </c>
      <c r="L82" s="302" t="str">
        <f t="shared" ref="L82:L89" si="7">IF($H82="","",(E82*H82))</f>
        <v/>
      </c>
      <c r="M82" s="398" t="str">
        <f t="shared" ref="M82:M89" si="8">IF(F82="","",(SUM(J82:L82)*1.138))</f>
        <v/>
      </c>
    </row>
    <row r="83" spans="1:17" ht="15.75" x14ac:dyDescent="0.2">
      <c r="A83" s="296"/>
      <c r="B83" s="297"/>
      <c r="C83" s="290" t="s">
        <v>191</v>
      </c>
      <c r="D83" s="297"/>
      <c r="E83" s="281"/>
      <c r="F83" s="281"/>
      <c r="G83" s="389" t="str">
        <f>IF(C83="please Choose"," ",VLOOKUP(C83,Equipment!$A$42:$B$48,2,FALSE))</f>
        <v xml:space="preserve"> </v>
      </c>
      <c r="H83" s="358"/>
      <c r="I83" s="64"/>
      <c r="J83" s="360" t="str">
        <f>IF($C83="Basic Overnight",(E83*F83*G83),IF($C83="Enhanced Overnight/Hardship",(E83*F83*VLOOKUP("Basic Overnight",Equipment!$A$42:$B$48,2,FALSE)),""))</f>
        <v/>
      </c>
      <c r="K83" s="392" t="str">
        <f>IF($C83="Hardship Only",(E83*F83*G83),IF($C83="Enhanced Overnight/Hardship",(E83*F83*VLOOKUP("Hardship Only",Equipment!$A$42:$B$48,2,FALSE)),""))</f>
        <v/>
      </c>
      <c r="L83" s="302" t="str">
        <f t="shared" si="7"/>
        <v/>
      </c>
      <c r="M83" s="398" t="str">
        <f t="shared" si="8"/>
        <v/>
      </c>
    </row>
    <row r="84" spans="1:17" ht="16.5" customHeight="1" x14ac:dyDescent="0.2">
      <c r="A84" s="296"/>
      <c r="B84" s="297"/>
      <c r="C84" s="290" t="s">
        <v>191</v>
      </c>
      <c r="D84" s="297"/>
      <c r="E84" s="281"/>
      <c r="F84" s="281"/>
      <c r="G84" s="389" t="str">
        <f>IF(C84="please Choose"," ",VLOOKUP(C84,Equipment!$A$42:$B$48,2,FALSE))</f>
        <v xml:space="preserve"> </v>
      </c>
      <c r="H84" s="358"/>
      <c r="I84" s="64"/>
      <c r="J84" s="360" t="str">
        <f>IF($C84="Basic Overnight",(E84*F84*G84),IF($C84="Enhanced Overnight/Hardship",(E84*F84*VLOOKUP("Basic Overnight",Equipment!$A$42:$B$48,2,FALSE)),""))</f>
        <v/>
      </c>
      <c r="K84" s="392" t="str">
        <f>IF($C84="Hardship Only",(E84*F84*G84),IF($C84="Enhanced Overnight/Hardship",(E84*F84*VLOOKUP("Hardship Only",Equipment!$A$42:$B$48,2,FALSE)),""))</f>
        <v/>
      </c>
      <c r="L84" s="302" t="str">
        <f t="shared" si="7"/>
        <v/>
      </c>
      <c r="M84" s="398" t="str">
        <f t="shared" si="8"/>
        <v/>
      </c>
    </row>
    <row r="85" spans="1:17" ht="15.75" x14ac:dyDescent="0.2">
      <c r="A85" s="296"/>
      <c r="B85" s="297"/>
      <c r="C85" s="290" t="s">
        <v>191</v>
      </c>
      <c r="D85" s="297"/>
      <c r="E85" s="281"/>
      <c r="F85" s="281"/>
      <c r="G85" s="389" t="str">
        <f>IF(C85="please Choose"," ",VLOOKUP(C85,Equipment!$A$42:$B$48,2,FALSE))</f>
        <v xml:space="preserve"> </v>
      </c>
      <c r="H85" s="358"/>
      <c r="I85" s="64"/>
      <c r="J85" s="360" t="str">
        <f>IF($C85="Basic Overnight",(E85*F85*G85),IF($C85="Enhanced Overnight/Hardship",(E85*F85*VLOOKUP("Basic Overnight",Equipment!$A$42:$B$48,2,FALSE)),""))</f>
        <v/>
      </c>
      <c r="K85" s="392" t="str">
        <f>IF($C85="Hardship Only",(E85*F85*G85),IF($C85="Enhanced Overnight/Hardship",(E85*F85*VLOOKUP("Hardship Only",Equipment!$A$42:$B$48,2,FALSE)),""))</f>
        <v/>
      </c>
      <c r="L85" s="302" t="str">
        <f t="shared" si="7"/>
        <v/>
      </c>
      <c r="M85" s="398" t="str">
        <f t="shared" si="8"/>
        <v/>
      </c>
    </row>
    <row r="86" spans="1:17" ht="16.5" customHeight="1" x14ac:dyDescent="0.2">
      <c r="A86" s="296"/>
      <c r="B86" s="297"/>
      <c r="C86" s="290" t="s">
        <v>191</v>
      </c>
      <c r="D86" s="297"/>
      <c r="E86" s="281"/>
      <c r="F86" s="281"/>
      <c r="G86" s="389" t="str">
        <f>IF(C86="please Choose"," ",VLOOKUP(C86,Equipment!$A$42:$B$48,2,FALSE))</f>
        <v xml:space="preserve"> </v>
      </c>
      <c r="H86" s="358"/>
      <c r="I86" s="64"/>
      <c r="J86" s="360" t="str">
        <f>IF($C86="Basic Overnight",(E86*F86*G86),IF($C86="Enhanced Overnight/Hardship",(E86*F86*VLOOKUP("Basic Overnight",Equipment!$A$42:$B$48,2,FALSE)),""))</f>
        <v/>
      </c>
      <c r="K86" s="392" t="str">
        <f>IF($C86="Hardship Only",(E86*F86*G86),IF($C86="Enhanced Overnight/Hardship",(E86*F86*VLOOKUP("Hardship Only",Equipment!$A$42:$B$48,2,FALSE)),""))</f>
        <v/>
      </c>
      <c r="L86" s="302" t="str">
        <f t="shared" si="7"/>
        <v/>
      </c>
      <c r="M86" s="398" t="str">
        <f t="shared" si="8"/>
        <v/>
      </c>
      <c r="N86" s="213"/>
      <c r="O86" s="216"/>
      <c r="P86" s="213"/>
      <c r="Q86" s="213"/>
    </row>
    <row r="87" spans="1:17" ht="15.75" x14ac:dyDescent="0.2">
      <c r="A87" s="296"/>
      <c r="B87" s="297"/>
      <c r="C87" s="290" t="s">
        <v>191</v>
      </c>
      <c r="D87" s="297"/>
      <c r="E87" s="281"/>
      <c r="F87" s="281"/>
      <c r="G87" s="389" t="str">
        <f>IF(C87="please Choose"," ",VLOOKUP(C87,Equipment!$A$42:$B$48,2,FALSE))</f>
        <v xml:space="preserve"> </v>
      </c>
      <c r="H87" s="358"/>
      <c r="I87" s="64"/>
      <c r="J87" s="360" t="str">
        <f>IF($C87="Basic Overnight",(E87*F87*G87),IF($C87="Enhanced Overnight/Hardship",(E87*F87*VLOOKUP("Basic Overnight",Equipment!$A$42:$B$48,2,FALSE)),""))</f>
        <v/>
      </c>
      <c r="K87" s="392" t="str">
        <f>IF($C87="Hardship Only",(E87*F87*G87),IF($C87="Enhanced Overnight/Hardship",(E87*F87*VLOOKUP("Hardship Only",Equipment!$A$42:$B$48,2,FALSE)),""))</f>
        <v/>
      </c>
      <c r="L87" s="302" t="str">
        <f t="shared" si="7"/>
        <v/>
      </c>
      <c r="M87" s="398" t="str">
        <f t="shared" si="8"/>
        <v/>
      </c>
    </row>
    <row r="88" spans="1:17" ht="15.75" x14ac:dyDescent="0.2">
      <c r="A88" s="298"/>
      <c r="B88" s="297"/>
      <c r="C88" s="290" t="s">
        <v>191</v>
      </c>
      <c r="D88" s="297"/>
      <c r="E88" s="281"/>
      <c r="F88" s="281"/>
      <c r="G88" s="389" t="str">
        <f>IF(C88="please Choose"," ",VLOOKUP(C88,Equipment!$A$42:$B$48,2,FALSE))</f>
        <v xml:space="preserve"> </v>
      </c>
      <c r="H88" s="358"/>
      <c r="I88" s="64"/>
      <c r="J88" s="360" t="str">
        <f>IF($C88="Basic Overnight",(E88*F88*G88),IF($C88="Enhanced Overnight/Hardship",(E88*F88*VLOOKUP("Basic Overnight",Equipment!$A$42:$B$48,2,FALSE)),""))</f>
        <v/>
      </c>
      <c r="K88" s="392" t="str">
        <f>IF($C88="Hardship Only",(E88*F88*G88),IF($C88="Enhanced Overnight/Hardship",(E88*F88*VLOOKUP("Hardship Only",Equipment!$A$42:$B$48,2,FALSE)),""))</f>
        <v/>
      </c>
      <c r="L88" s="302" t="str">
        <f t="shared" si="7"/>
        <v/>
      </c>
      <c r="M88" s="398" t="str">
        <f t="shared" si="8"/>
        <v/>
      </c>
    </row>
    <row r="89" spans="1:17" ht="16.5" thickBot="1" x14ac:dyDescent="0.25">
      <c r="A89" s="299"/>
      <c r="B89" s="300"/>
      <c r="C89" s="292" t="s">
        <v>191</v>
      </c>
      <c r="D89" s="300"/>
      <c r="E89" s="282"/>
      <c r="F89" s="282"/>
      <c r="G89" s="390" t="str">
        <f>IF(C89="please Choose"," ",VLOOKUP(C89,Equipment!$A$42:$B$48,2,FALSE))</f>
        <v xml:space="preserve"> </v>
      </c>
      <c r="H89" s="359"/>
      <c r="I89" s="64"/>
      <c r="J89" s="361" t="str">
        <f>IF($C89="Basic Overnight",(E89*F89*G89),IF($C89="Enhanced Overnight/Hardship",(E89*F89*VLOOKUP("Basic Overnight",Equipment!$A$42:$B$48,2,FALSE)),""))</f>
        <v/>
      </c>
      <c r="K89" s="393" t="str">
        <f>IF($C89="Hardship Only",(E89*F89*G89),IF($C89="Enhanced Overnight/Hardship",(E89*F89*VLOOKUP("Hardship Only",Equipment!$A$42:$B$48,2,FALSE)),""))</f>
        <v/>
      </c>
      <c r="L89" s="303" t="str">
        <f t="shared" si="7"/>
        <v/>
      </c>
      <c r="M89" s="399" t="str">
        <f t="shared" si="8"/>
        <v/>
      </c>
    </row>
    <row r="90" spans="1:17" ht="15.75" thickBot="1" x14ac:dyDescent="0.25">
      <c r="A90" s="112"/>
      <c r="B90" s="112"/>
      <c r="C90" s="113"/>
      <c r="D90" s="112"/>
      <c r="E90" s="112"/>
      <c r="F90" s="112"/>
      <c r="G90" s="112"/>
      <c r="H90" s="112"/>
      <c r="I90" s="114"/>
      <c r="J90" s="304"/>
      <c r="K90" s="902" t="s">
        <v>343</v>
      </c>
      <c r="L90" s="903"/>
      <c r="M90" s="365">
        <f>SUM(M81:M89)</f>
        <v>0</v>
      </c>
    </row>
    <row r="91" spans="1:17" ht="15.75" thickBot="1" x14ac:dyDescent="0.25">
      <c r="A91" s="112"/>
      <c r="B91" s="112"/>
      <c r="C91" s="113"/>
      <c r="D91" s="112"/>
      <c r="E91" s="112"/>
      <c r="F91" s="112"/>
      <c r="G91" s="112"/>
      <c r="H91" s="112"/>
      <c r="I91" s="114"/>
      <c r="J91" s="304"/>
      <c r="K91" s="401"/>
      <c r="L91" s="401"/>
      <c r="M91" s="402"/>
    </row>
    <row r="92" spans="1:17" ht="18" x14ac:dyDescent="0.2">
      <c r="A92" s="702" t="s">
        <v>369</v>
      </c>
      <c r="B92" s="703"/>
      <c r="C92" s="703"/>
      <c r="D92" s="703"/>
      <c r="E92" s="703"/>
      <c r="F92" s="703"/>
      <c r="G92" s="703"/>
      <c r="H92" s="704"/>
      <c r="I92" s="188"/>
      <c r="J92" s="667" t="s">
        <v>368</v>
      </c>
      <c r="K92" s="668"/>
      <c r="L92" s="668"/>
      <c r="M92" s="669"/>
    </row>
    <row r="93" spans="1:17" ht="18.75" thickBot="1" x14ac:dyDescent="0.25">
      <c r="A93" s="705"/>
      <c r="B93" s="706"/>
      <c r="C93" s="706"/>
      <c r="D93" s="706"/>
      <c r="E93" s="706"/>
      <c r="F93" s="706"/>
      <c r="G93" s="706"/>
      <c r="H93" s="707"/>
      <c r="I93" s="188"/>
      <c r="J93" s="670"/>
      <c r="K93" s="671"/>
      <c r="L93" s="671"/>
      <c r="M93" s="672"/>
    </row>
    <row r="94" spans="1:17" ht="39" thickBot="1" x14ac:dyDescent="0.25">
      <c r="A94" s="233" t="s">
        <v>0</v>
      </c>
      <c r="B94" s="116" t="s">
        <v>1</v>
      </c>
      <c r="C94" s="126" t="s">
        <v>260</v>
      </c>
      <c r="D94" s="675" t="s">
        <v>223</v>
      </c>
      <c r="E94" s="676"/>
      <c r="F94" s="126" t="s">
        <v>240</v>
      </c>
      <c r="G94" s="126" t="s">
        <v>241</v>
      </c>
      <c r="H94" s="126" t="s">
        <v>242</v>
      </c>
      <c r="I94" s="115"/>
      <c r="J94" s="156" t="s">
        <v>307</v>
      </c>
      <c r="K94" s="631"/>
      <c r="L94" s="632"/>
      <c r="M94" s="157" t="s">
        <v>231</v>
      </c>
    </row>
    <row r="95" spans="1:17" ht="15.75" x14ac:dyDescent="0.25">
      <c r="A95" s="255"/>
      <c r="B95" s="258"/>
      <c r="C95" s="342" t="s">
        <v>239</v>
      </c>
      <c r="D95" s="685"/>
      <c r="E95" s="864"/>
      <c r="F95" s="338"/>
      <c r="G95" s="339"/>
      <c r="H95" s="590" t="str">
        <f>IF(F95="","",VLOOKUP(C95,Equipment!$A$71:$B$73,2,FALSE))</f>
        <v/>
      </c>
      <c r="I95" s="64"/>
      <c r="J95" s="166" t="str">
        <f>IF(F95="","",H95*G95*F95)</f>
        <v/>
      </c>
      <c r="K95" s="169"/>
      <c r="L95" s="170"/>
      <c r="M95" s="164" t="str">
        <f>IF(F95="","",(SUM(J95)))</f>
        <v/>
      </c>
    </row>
    <row r="96" spans="1:17" ht="15.75" x14ac:dyDescent="0.25">
      <c r="A96" s="256"/>
      <c r="B96" s="132"/>
      <c r="C96" s="274" t="s">
        <v>239</v>
      </c>
      <c r="D96" s="679"/>
      <c r="E96" s="865"/>
      <c r="F96" s="340"/>
      <c r="G96" s="340"/>
      <c r="H96" s="591" t="str">
        <f>IF(F96="","",VLOOKUP(C96,Equipment!$A$71:$B$73,2,FALSE))</f>
        <v/>
      </c>
      <c r="I96" s="64"/>
      <c r="J96" s="167" t="str">
        <f>IF(F96="","",H96*G96*F96)</f>
        <v/>
      </c>
      <c r="K96" s="171"/>
      <c r="L96" s="172"/>
      <c r="M96" s="164" t="str">
        <f>IF(F96="","",(SUM(J96)))</f>
        <v/>
      </c>
    </row>
    <row r="97" spans="1:13" ht="16.5" thickBot="1" x14ac:dyDescent="0.3">
      <c r="A97" s="257"/>
      <c r="B97" s="133"/>
      <c r="C97" s="275" t="s">
        <v>239</v>
      </c>
      <c r="D97" s="783"/>
      <c r="E97" s="866"/>
      <c r="F97" s="341"/>
      <c r="G97" s="341"/>
      <c r="H97" s="592" t="str">
        <f>IF(F97="","",VLOOKUP(C97,Equipment!$A$71:$B$73,2,FALSE))</f>
        <v/>
      </c>
      <c r="I97" s="64"/>
      <c r="J97" s="168" t="str">
        <f>IF(F97="","",H97*G97*F97)</f>
        <v/>
      </c>
      <c r="K97" s="173"/>
      <c r="L97" s="174"/>
      <c r="M97" s="248" t="str">
        <f>IF(F97="","",(SUM(J97)))</f>
        <v/>
      </c>
    </row>
    <row r="98" spans="1:13" ht="16.5" thickBot="1" x14ac:dyDescent="0.3">
      <c r="A98" s="419"/>
      <c r="B98" s="861"/>
      <c r="C98" s="861"/>
      <c r="D98" s="861"/>
      <c r="E98" s="861"/>
      <c r="F98" s="861"/>
      <c r="G98" s="861"/>
      <c r="H98" s="861"/>
      <c r="I98" s="64"/>
      <c r="J98" s="148"/>
      <c r="K98" s="862" t="s">
        <v>281</v>
      </c>
      <c r="L98" s="863"/>
      <c r="M98" s="273">
        <f>SUM(M95:M97)</f>
        <v>0</v>
      </c>
    </row>
    <row r="99" spans="1:13" ht="16.5" thickBot="1" x14ac:dyDescent="0.25">
      <c r="A99" s="41"/>
      <c r="B99" s="41"/>
      <c r="C99" s="41"/>
      <c r="D99" s="41"/>
      <c r="E99" s="41"/>
      <c r="F99" s="41"/>
      <c r="G99" s="41"/>
      <c r="H99" s="41"/>
      <c r="I99" s="64"/>
      <c r="J99" s="193"/>
      <c r="K99" s="251"/>
      <c r="L99" s="251"/>
      <c r="M99" s="252"/>
    </row>
    <row r="100" spans="1:13" ht="18" x14ac:dyDescent="0.2">
      <c r="A100" s="702" t="s">
        <v>392</v>
      </c>
      <c r="B100" s="703"/>
      <c r="C100" s="703"/>
      <c r="D100" s="703"/>
      <c r="E100" s="703"/>
      <c r="F100" s="703"/>
      <c r="G100" s="703"/>
      <c r="H100" s="704"/>
      <c r="I100" s="189"/>
      <c r="J100" s="667" t="s">
        <v>367</v>
      </c>
      <c r="K100" s="668"/>
      <c r="L100" s="668"/>
      <c r="M100" s="669"/>
    </row>
    <row r="101" spans="1:13" ht="18.75" thickBot="1" x14ac:dyDescent="0.25">
      <c r="A101" s="705"/>
      <c r="B101" s="706"/>
      <c r="C101" s="706"/>
      <c r="D101" s="706"/>
      <c r="E101" s="706"/>
      <c r="F101" s="706"/>
      <c r="G101" s="706"/>
      <c r="H101" s="707"/>
      <c r="I101" s="189"/>
      <c r="J101" s="670"/>
      <c r="K101" s="671"/>
      <c r="L101" s="671"/>
      <c r="M101" s="672"/>
    </row>
    <row r="102" spans="1:13" ht="32.25" thickBot="1" x14ac:dyDescent="0.25">
      <c r="A102" s="116" t="s">
        <v>0</v>
      </c>
      <c r="B102" s="116" t="s">
        <v>1</v>
      </c>
      <c r="C102" s="116" t="s">
        <v>233</v>
      </c>
      <c r="D102" s="116" t="s">
        <v>223</v>
      </c>
      <c r="E102" s="116" t="s">
        <v>4</v>
      </c>
      <c r="F102" s="116" t="s">
        <v>200</v>
      </c>
      <c r="G102" s="116" t="s">
        <v>199</v>
      </c>
      <c r="H102" s="118" t="s">
        <v>196</v>
      </c>
      <c r="I102" s="117"/>
      <c r="J102" s="151" t="s">
        <v>197</v>
      </c>
      <c r="K102" s="151" t="s">
        <v>221</v>
      </c>
      <c r="L102" s="151" t="s">
        <v>222</v>
      </c>
      <c r="M102" s="165" t="s">
        <v>198</v>
      </c>
    </row>
    <row r="103" spans="1:13" ht="15.75" x14ac:dyDescent="0.2">
      <c r="A103" s="296"/>
      <c r="B103" s="297"/>
      <c r="C103" s="290" t="s">
        <v>191</v>
      </c>
      <c r="D103" s="297"/>
      <c r="E103" s="276"/>
      <c r="F103" s="284"/>
      <c r="G103" s="285"/>
      <c r="H103" s="319" t="str">
        <f>IF(F103="","",VLOOKUP($C103,Equipment!$A$21:$D$30,2,FALSE))</f>
        <v/>
      </c>
      <c r="I103" s="320"/>
      <c r="J103" s="321" t="str">
        <f>IF(F103="","",VLOOKUP($C103,Equipment!$A$21:$D$30,4,FALSE))</f>
        <v/>
      </c>
      <c r="K103" s="371" t="str">
        <f>IF($F103="","",$G103*$J103)</f>
        <v/>
      </c>
      <c r="L103" s="322" t="str">
        <f t="shared" ref="L103:L111" si="9">IF($F103="","",$H103*$F103*$E103)</f>
        <v/>
      </c>
      <c r="M103" s="362" t="str">
        <f>IF(H103="","",K103+L103)</f>
        <v/>
      </c>
    </row>
    <row r="104" spans="1:13" ht="15.75" x14ac:dyDescent="0.2">
      <c r="A104" s="296"/>
      <c r="B104" s="297"/>
      <c r="C104" s="290" t="s">
        <v>191</v>
      </c>
      <c r="D104" s="297"/>
      <c r="E104" s="276"/>
      <c r="F104" s="284"/>
      <c r="G104" s="285"/>
      <c r="H104" s="319" t="str">
        <f>IF(F104="","",VLOOKUP($C104,Equipment!$A$21:$D$30,2,FALSE))</f>
        <v/>
      </c>
      <c r="I104" s="320"/>
      <c r="J104" s="321" t="str">
        <f>IF(F104="","",VLOOKUP($C104,Equipment!$A$21:$D$30,4,FALSE))</f>
        <v/>
      </c>
      <c r="K104" s="371" t="str">
        <f t="shared" ref="K104:K111" si="10">IF(F104="","",G104*J104)</f>
        <v/>
      </c>
      <c r="L104" s="323" t="str">
        <f t="shared" si="9"/>
        <v/>
      </c>
      <c r="M104" s="362" t="str">
        <f t="shared" ref="M104:M111" si="11">IF(H104="","",K104+L104)</f>
        <v/>
      </c>
    </row>
    <row r="105" spans="1:13" ht="15.75" x14ac:dyDescent="0.2">
      <c r="A105" s="296"/>
      <c r="B105" s="297"/>
      <c r="C105" s="290" t="s">
        <v>191</v>
      </c>
      <c r="D105" s="297"/>
      <c r="E105" s="276"/>
      <c r="F105" s="284"/>
      <c r="G105" s="285"/>
      <c r="H105" s="319" t="str">
        <f>IF(F105="","",VLOOKUP($C105,Equipment!$A$21:$D$30,2,FALSE))</f>
        <v/>
      </c>
      <c r="I105" s="320"/>
      <c r="J105" s="321" t="str">
        <f>IF(F105="","",VLOOKUP($C105,Equipment!$A$21:$D$30,4,FALSE))</f>
        <v/>
      </c>
      <c r="K105" s="371" t="str">
        <f t="shared" si="10"/>
        <v/>
      </c>
      <c r="L105" s="323" t="str">
        <f t="shared" si="9"/>
        <v/>
      </c>
      <c r="M105" s="362" t="str">
        <f t="shared" si="11"/>
        <v/>
      </c>
    </row>
    <row r="106" spans="1:13" ht="15.75" x14ac:dyDescent="0.2">
      <c r="A106" s="296"/>
      <c r="B106" s="297"/>
      <c r="C106" s="290" t="s">
        <v>191</v>
      </c>
      <c r="D106" s="297"/>
      <c r="E106" s="276"/>
      <c r="F106" s="284"/>
      <c r="G106" s="285"/>
      <c r="H106" s="319" t="str">
        <f>IF(F106="","",VLOOKUP($C106,Equipment!$A$21:$D$30,2,FALSE))</f>
        <v/>
      </c>
      <c r="I106" s="320"/>
      <c r="J106" s="321" t="str">
        <f>IF(F106="","",VLOOKUP($C106,Equipment!$A$21:$D$30,4,FALSE))</f>
        <v/>
      </c>
      <c r="K106" s="371" t="str">
        <f t="shared" si="10"/>
        <v/>
      </c>
      <c r="L106" s="323" t="str">
        <f t="shared" si="9"/>
        <v/>
      </c>
      <c r="M106" s="362" t="str">
        <f t="shared" si="11"/>
        <v/>
      </c>
    </row>
    <row r="107" spans="1:13" ht="15.75" x14ac:dyDescent="0.2">
      <c r="A107" s="296"/>
      <c r="B107" s="297"/>
      <c r="C107" s="290" t="s">
        <v>191</v>
      </c>
      <c r="D107" s="297"/>
      <c r="E107" s="276"/>
      <c r="F107" s="284"/>
      <c r="G107" s="285"/>
      <c r="H107" s="319" t="str">
        <f>IF(F107="","",VLOOKUP($C107,Equipment!$A$21:$D$30,2,FALSE))</f>
        <v/>
      </c>
      <c r="I107" s="320"/>
      <c r="J107" s="321" t="str">
        <f>IF(F107="","",VLOOKUP($C107,Equipment!$A$21:$D$30,4,FALSE))</f>
        <v/>
      </c>
      <c r="K107" s="371" t="str">
        <f t="shared" si="10"/>
        <v/>
      </c>
      <c r="L107" s="323" t="str">
        <f t="shared" si="9"/>
        <v/>
      </c>
      <c r="M107" s="362" t="str">
        <f t="shared" si="11"/>
        <v/>
      </c>
    </row>
    <row r="108" spans="1:13" ht="15.75" x14ac:dyDescent="0.2">
      <c r="A108" s="296"/>
      <c r="B108" s="297"/>
      <c r="C108" s="290" t="s">
        <v>191</v>
      </c>
      <c r="D108" s="297"/>
      <c r="E108" s="276"/>
      <c r="F108" s="284"/>
      <c r="G108" s="285"/>
      <c r="H108" s="319" t="str">
        <f>IF(F108="","",VLOOKUP($C108,Equipment!$A$21:$D$30,2,FALSE))</f>
        <v/>
      </c>
      <c r="I108" s="320"/>
      <c r="J108" s="321" t="str">
        <f>IF(F108="","",VLOOKUP($C108,Equipment!$A$21:$D$30,4,FALSE))</f>
        <v/>
      </c>
      <c r="K108" s="371" t="str">
        <f t="shared" si="10"/>
        <v/>
      </c>
      <c r="L108" s="323" t="str">
        <f t="shared" si="9"/>
        <v/>
      </c>
      <c r="M108" s="362" t="str">
        <f t="shared" si="11"/>
        <v/>
      </c>
    </row>
    <row r="109" spans="1:13" ht="15.75" x14ac:dyDescent="0.2">
      <c r="A109" s="296"/>
      <c r="B109" s="297"/>
      <c r="C109" s="290" t="s">
        <v>191</v>
      </c>
      <c r="D109" s="297"/>
      <c r="E109" s="276"/>
      <c r="F109" s="284"/>
      <c r="G109" s="285"/>
      <c r="H109" s="319" t="str">
        <f>IF(F109="","",VLOOKUP($C109,Equipment!$A$21:$D$30,2,FALSE))</f>
        <v/>
      </c>
      <c r="I109" s="320"/>
      <c r="J109" s="321" t="str">
        <f>IF(F109="","",VLOOKUP($C109,Equipment!$A$21:$D$30,4,FALSE))</f>
        <v/>
      </c>
      <c r="K109" s="371" t="str">
        <f t="shared" si="10"/>
        <v/>
      </c>
      <c r="L109" s="323" t="str">
        <f t="shared" si="9"/>
        <v/>
      </c>
      <c r="M109" s="362" t="str">
        <f t="shared" si="11"/>
        <v/>
      </c>
    </row>
    <row r="110" spans="1:13" ht="15.75" x14ac:dyDescent="0.2">
      <c r="A110" s="296"/>
      <c r="B110" s="297"/>
      <c r="C110" s="290" t="s">
        <v>191</v>
      </c>
      <c r="D110" s="297"/>
      <c r="E110" s="276"/>
      <c r="F110" s="284"/>
      <c r="G110" s="285"/>
      <c r="H110" s="319" t="str">
        <f>IF(F110="","",VLOOKUP($C110,Equipment!$A$21:$D$30,2,FALSE))</f>
        <v/>
      </c>
      <c r="I110" s="320"/>
      <c r="J110" s="321" t="str">
        <f>IF(F110="","",VLOOKUP($C110,Equipment!$A$21:$D$30,4,FALSE))</f>
        <v/>
      </c>
      <c r="K110" s="371" t="str">
        <f t="shared" si="10"/>
        <v/>
      </c>
      <c r="L110" s="323" t="str">
        <f t="shared" si="9"/>
        <v/>
      </c>
      <c r="M110" s="362" t="str">
        <f t="shared" si="11"/>
        <v/>
      </c>
    </row>
    <row r="111" spans="1:13" ht="16.5" thickBot="1" x14ac:dyDescent="0.25">
      <c r="A111" s="310"/>
      <c r="B111" s="300"/>
      <c r="C111" s="292" t="s">
        <v>191</v>
      </c>
      <c r="D111" s="300"/>
      <c r="E111" s="278"/>
      <c r="F111" s="286"/>
      <c r="G111" s="287"/>
      <c r="H111" s="324" t="str">
        <f>IF(F111="","",VLOOKUP($C111,Equipment!$A$21:$D$30,2,FALSE))</f>
        <v/>
      </c>
      <c r="I111" s="320"/>
      <c r="J111" s="325" t="str">
        <f>IF(F111="","",VLOOKUP($C111,Equipment!$A$21:$D$30,4,FALSE))</f>
        <v/>
      </c>
      <c r="K111" s="372" t="str">
        <f t="shared" si="10"/>
        <v/>
      </c>
      <c r="L111" s="326" t="str">
        <f t="shared" si="9"/>
        <v/>
      </c>
      <c r="M111" s="363" t="str">
        <f t="shared" si="11"/>
        <v/>
      </c>
    </row>
    <row r="112" spans="1:13" ht="15.75" thickBot="1" x14ac:dyDescent="0.25">
      <c r="A112" s="327"/>
      <c r="B112" s="327"/>
      <c r="C112" s="327"/>
      <c r="D112" s="327"/>
      <c r="E112" s="320"/>
      <c r="F112" s="328"/>
      <c r="G112" s="328"/>
      <c r="H112" s="329"/>
      <c r="I112" s="320"/>
      <c r="J112" s="304"/>
      <c r="K112" s="636" t="s">
        <v>344</v>
      </c>
      <c r="L112" s="637"/>
      <c r="M112" s="365">
        <f>SUM(M103:M111)</f>
        <v>0</v>
      </c>
    </row>
    <row r="113" spans="1:13" ht="15.75" thickBot="1" x14ac:dyDescent="0.25">
      <c r="A113" s="330"/>
      <c r="B113" s="330"/>
      <c r="C113" s="677" t="s">
        <v>219</v>
      </c>
      <c r="D113" s="678"/>
      <c r="E113" s="347">
        <f>'MA CLAIM FORM'!E128</f>
        <v>1.4077999999999999</v>
      </c>
      <c r="F113" s="328"/>
      <c r="G113" s="328"/>
      <c r="H113" s="329"/>
      <c r="I113" s="320"/>
      <c r="J113" s="304"/>
      <c r="K113" s="331"/>
      <c r="L113" s="332"/>
      <c r="M113" s="333"/>
    </row>
    <row r="114" spans="1:13" ht="15.75" thickBot="1" x14ac:dyDescent="0.25">
      <c r="A114" s="330"/>
      <c r="B114" s="330"/>
      <c r="C114" s="677" t="s">
        <v>220</v>
      </c>
      <c r="D114" s="678"/>
      <c r="E114" s="347">
        <f>'MA CLAIM FORM'!E129</f>
        <v>1.4865999999999999</v>
      </c>
      <c r="F114" s="328"/>
      <c r="G114" s="328"/>
      <c r="H114" s="329"/>
      <c r="I114" s="320"/>
      <c r="J114" s="304"/>
      <c r="K114" s="331"/>
      <c r="L114" s="332"/>
      <c r="M114" s="334"/>
    </row>
    <row r="115" spans="1:13" ht="16.5" thickBot="1" x14ac:dyDescent="0.3">
      <c r="A115" s="39"/>
      <c r="B115" s="39"/>
      <c r="C115" s="38"/>
      <c r="D115" s="39"/>
      <c r="E115" s="39"/>
      <c r="F115" s="42"/>
      <c r="G115" s="42"/>
      <c r="H115" s="43"/>
      <c r="I115" s="64"/>
      <c r="J115" s="140"/>
      <c r="K115" s="152"/>
      <c r="L115" s="153"/>
      <c r="M115" s="154"/>
    </row>
    <row r="116" spans="1:13" ht="18" x14ac:dyDescent="0.2">
      <c r="A116" s="725" t="s">
        <v>365</v>
      </c>
      <c r="B116" s="726"/>
      <c r="C116" s="726"/>
      <c r="D116" s="726"/>
      <c r="E116" s="726"/>
      <c r="F116" s="726"/>
      <c r="G116" s="726"/>
      <c r="H116" s="727"/>
      <c r="I116" s="188"/>
      <c r="J116" s="667" t="s">
        <v>366</v>
      </c>
      <c r="K116" s="668"/>
      <c r="L116" s="668"/>
      <c r="M116" s="669"/>
    </row>
    <row r="117" spans="1:13" ht="18.75" thickBot="1" x14ac:dyDescent="0.25">
      <c r="A117" s="728"/>
      <c r="B117" s="729"/>
      <c r="C117" s="729"/>
      <c r="D117" s="729"/>
      <c r="E117" s="729"/>
      <c r="F117" s="729"/>
      <c r="G117" s="729"/>
      <c r="H117" s="730"/>
      <c r="I117" s="188"/>
      <c r="J117" s="670"/>
      <c r="K117" s="671"/>
      <c r="L117" s="671"/>
      <c r="M117" s="672"/>
    </row>
    <row r="118" spans="1:13" ht="39" thickBot="1" x14ac:dyDescent="0.25">
      <c r="A118" s="121" t="s">
        <v>0</v>
      </c>
      <c r="B118" s="121" t="s">
        <v>1</v>
      </c>
      <c r="C118" s="122" t="s">
        <v>259</v>
      </c>
      <c r="D118" s="682" t="s">
        <v>223</v>
      </c>
      <c r="E118" s="683"/>
      <c r="F118" s="683"/>
      <c r="G118" s="683"/>
      <c r="H118" s="684"/>
      <c r="I118" s="115"/>
      <c r="J118" s="155" t="s">
        <v>237</v>
      </c>
      <c r="K118" s="631"/>
      <c r="L118" s="632"/>
      <c r="M118" s="264" t="s">
        <v>238</v>
      </c>
    </row>
    <row r="119" spans="1:13" ht="15.75" x14ac:dyDescent="0.2">
      <c r="A119" s="294"/>
      <c r="B119" s="295"/>
      <c r="C119" s="305" t="s">
        <v>234</v>
      </c>
      <c r="D119" s="685"/>
      <c r="E119" s="686"/>
      <c r="F119" s="686"/>
      <c r="G119" s="686"/>
      <c r="H119" s="687"/>
      <c r="I119" s="320"/>
      <c r="J119" s="368"/>
      <c r="K119" s="313"/>
      <c r="L119" s="314"/>
      <c r="M119" s="366" t="str">
        <f>IF(J119="","",J119)</f>
        <v/>
      </c>
    </row>
    <row r="120" spans="1:13" ht="15.75" x14ac:dyDescent="0.2">
      <c r="A120" s="296"/>
      <c r="B120" s="297"/>
      <c r="C120" s="305" t="s">
        <v>234</v>
      </c>
      <c r="D120" s="679"/>
      <c r="E120" s="680"/>
      <c r="F120" s="680"/>
      <c r="G120" s="680"/>
      <c r="H120" s="681"/>
      <c r="I120" s="320"/>
      <c r="J120" s="369"/>
      <c r="K120" s="315"/>
      <c r="L120" s="316"/>
      <c r="M120" s="366" t="str">
        <f t="shared" ref="M120:M127" si="12">IF(J120="","",J120)</f>
        <v/>
      </c>
    </row>
    <row r="121" spans="1:13" ht="15.75" x14ac:dyDescent="0.2">
      <c r="A121" s="296"/>
      <c r="B121" s="297"/>
      <c r="C121" s="305" t="s">
        <v>234</v>
      </c>
      <c r="D121" s="679"/>
      <c r="E121" s="680"/>
      <c r="F121" s="680"/>
      <c r="G121" s="680"/>
      <c r="H121" s="681"/>
      <c r="I121" s="320"/>
      <c r="J121" s="369"/>
      <c r="K121" s="315"/>
      <c r="L121" s="316"/>
      <c r="M121" s="366" t="str">
        <f t="shared" si="12"/>
        <v/>
      </c>
    </row>
    <row r="122" spans="1:13" ht="15.75" x14ac:dyDescent="0.2">
      <c r="A122" s="296"/>
      <c r="B122" s="297"/>
      <c r="C122" s="305" t="s">
        <v>234</v>
      </c>
      <c r="D122" s="679"/>
      <c r="E122" s="680"/>
      <c r="F122" s="680"/>
      <c r="G122" s="680"/>
      <c r="H122" s="681"/>
      <c r="I122" s="320"/>
      <c r="J122" s="369"/>
      <c r="K122" s="315"/>
      <c r="L122" s="316"/>
      <c r="M122" s="366" t="str">
        <f t="shared" si="12"/>
        <v/>
      </c>
    </row>
    <row r="123" spans="1:13" ht="15.75" x14ac:dyDescent="0.2">
      <c r="A123" s="296"/>
      <c r="B123" s="297"/>
      <c r="C123" s="305" t="s">
        <v>234</v>
      </c>
      <c r="D123" s="679"/>
      <c r="E123" s="680"/>
      <c r="F123" s="680"/>
      <c r="G123" s="680"/>
      <c r="H123" s="681"/>
      <c r="I123" s="320"/>
      <c r="J123" s="369"/>
      <c r="K123" s="315"/>
      <c r="L123" s="316"/>
      <c r="M123" s="366" t="str">
        <f t="shared" si="12"/>
        <v/>
      </c>
    </row>
    <row r="124" spans="1:13" ht="15.75" x14ac:dyDescent="0.2">
      <c r="A124" s="296"/>
      <c r="B124" s="297"/>
      <c r="C124" s="305" t="s">
        <v>234</v>
      </c>
      <c r="D124" s="679"/>
      <c r="E124" s="680"/>
      <c r="F124" s="680"/>
      <c r="G124" s="680"/>
      <c r="H124" s="681"/>
      <c r="I124" s="320"/>
      <c r="J124" s="369"/>
      <c r="K124" s="315"/>
      <c r="L124" s="316"/>
      <c r="M124" s="366" t="str">
        <f t="shared" si="12"/>
        <v/>
      </c>
    </row>
    <row r="125" spans="1:13" ht="15.75" x14ac:dyDescent="0.2">
      <c r="A125" s="296"/>
      <c r="B125" s="297"/>
      <c r="C125" s="305" t="s">
        <v>234</v>
      </c>
      <c r="D125" s="679"/>
      <c r="E125" s="680"/>
      <c r="F125" s="680"/>
      <c r="G125" s="680"/>
      <c r="H125" s="681"/>
      <c r="I125" s="320"/>
      <c r="J125" s="369"/>
      <c r="K125" s="315"/>
      <c r="L125" s="316"/>
      <c r="M125" s="366" t="str">
        <f t="shared" si="12"/>
        <v/>
      </c>
    </row>
    <row r="126" spans="1:13" ht="15.75" x14ac:dyDescent="0.2">
      <c r="A126" s="296"/>
      <c r="B126" s="297"/>
      <c r="C126" s="305" t="s">
        <v>234</v>
      </c>
      <c r="D126" s="679"/>
      <c r="E126" s="680"/>
      <c r="F126" s="680"/>
      <c r="G126" s="680"/>
      <c r="H126" s="681"/>
      <c r="I126" s="320"/>
      <c r="J126" s="369"/>
      <c r="K126" s="315"/>
      <c r="L126" s="316"/>
      <c r="M126" s="366" t="str">
        <f t="shared" si="12"/>
        <v/>
      </c>
    </row>
    <row r="127" spans="1:13" ht="16.5" thickBot="1" x14ac:dyDescent="0.25">
      <c r="A127" s="310"/>
      <c r="B127" s="300"/>
      <c r="C127" s="335" t="s">
        <v>234</v>
      </c>
      <c r="D127" s="783"/>
      <c r="E127" s="784"/>
      <c r="F127" s="784"/>
      <c r="G127" s="784"/>
      <c r="H127" s="785"/>
      <c r="I127" s="320"/>
      <c r="J127" s="370"/>
      <c r="K127" s="317"/>
      <c r="L127" s="318"/>
      <c r="M127" s="367" t="str">
        <f t="shared" si="12"/>
        <v/>
      </c>
    </row>
    <row r="128" spans="1:13" ht="15.75" thickBot="1" x14ac:dyDescent="0.25">
      <c r="A128" s="417"/>
      <c r="B128" s="336"/>
      <c r="C128" s="337"/>
      <c r="D128" s="336"/>
      <c r="E128" s="336"/>
      <c r="F128" s="336"/>
      <c r="G128" s="336"/>
      <c r="H128" s="336"/>
      <c r="I128" s="320"/>
      <c r="J128" s="304"/>
      <c r="K128" s="723" t="s">
        <v>339</v>
      </c>
      <c r="L128" s="724"/>
      <c r="M128" s="365">
        <f>SUM(M119:M127)</f>
        <v>0</v>
      </c>
    </row>
    <row r="129" spans="1:13" ht="15.6" customHeight="1" thickBot="1" x14ac:dyDescent="0.25">
      <c r="A129" s="112"/>
      <c r="B129" s="112"/>
      <c r="C129" s="113"/>
      <c r="D129" s="112"/>
      <c r="E129" s="112"/>
      <c r="F129" s="112"/>
      <c r="G129" s="112"/>
      <c r="H129" s="112"/>
      <c r="I129" s="114"/>
      <c r="J129" s="304"/>
      <c r="K129" s="401"/>
      <c r="L129" s="401"/>
      <c r="M129" s="402"/>
    </row>
    <row r="130" spans="1:13" ht="18" x14ac:dyDescent="0.25">
      <c r="A130" s="223" t="s">
        <v>137</v>
      </c>
      <c r="B130" s="192"/>
      <c r="C130" s="192"/>
      <c r="D130" s="192"/>
      <c r="E130" s="192"/>
      <c r="F130" s="63"/>
      <c r="G130" s="63"/>
      <c r="H130" s="400"/>
      <c r="I130" s="806" t="s">
        <v>336</v>
      </c>
      <c r="J130" s="895"/>
      <c r="K130" s="895"/>
      <c r="L130" s="895"/>
      <c r="M130" s="896"/>
    </row>
    <row r="131" spans="1:13" x14ac:dyDescent="0.2">
      <c r="A131" s="89"/>
      <c r="B131" s="70"/>
      <c r="C131" s="70"/>
      <c r="D131" s="70"/>
      <c r="E131" s="70"/>
      <c r="F131" s="63"/>
      <c r="G131" s="63"/>
      <c r="H131" s="400"/>
      <c r="I131" s="897"/>
      <c r="J131" s="898"/>
      <c r="K131" s="898"/>
      <c r="L131" s="898"/>
      <c r="M131" s="899"/>
    </row>
    <row r="132" spans="1:13" ht="15" customHeight="1" x14ac:dyDescent="0.25">
      <c r="A132" s="89" t="s">
        <v>99</v>
      </c>
      <c r="B132" s="70"/>
      <c r="C132" s="641">
        <f>'MA CLAIM FORM'!C27:E27</f>
        <v>0</v>
      </c>
      <c r="D132" s="642" t="e">
        <f>IF(#REF!="","",#REF!*#REF!*A132)</f>
        <v>#REF!</v>
      </c>
      <c r="E132" s="643" t="e">
        <f>IF(#REF!="","",A132*#REF!*B132)</f>
        <v>#REF!</v>
      </c>
      <c r="F132" s="25"/>
      <c r="G132" s="25"/>
      <c r="H132" s="400"/>
      <c r="I132" s="731" t="s">
        <v>270</v>
      </c>
      <c r="J132" s="911"/>
      <c r="K132" s="911"/>
      <c r="L132" s="794">
        <f>M76</f>
        <v>0</v>
      </c>
      <c r="M132" s="795"/>
    </row>
    <row r="133" spans="1:13" ht="15" customHeight="1" x14ac:dyDescent="0.25">
      <c r="A133" s="89"/>
      <c r="B133" s="70"/>
      <c r="C133" s="93"/>
      <c r="D133" s="93"/>
      <c r="E133" s="93"/>
      <c r="F133" s="25"/>
      <c r="G133" s="25"/>
      <c r="H133" s="400"/>
      <c r="I133" s="731" t="s">
        <v>337</v>
      </c>
      <c r="J133" s="911"/>
      <c r="K133" s="911"/>
      <c r="L133" s="794">
        <f>M90</f>
        <v>0</v>
      </c>
      <c r="M133" s="795"/>
    </row>
    <row r="134" spans="1:13" ht="15" customHeight="1" x14ac:dyDescent="0.25">
      <c r="A134" s="89" t="s">
        <v>100</v>
      </c>
      <c r="B134" s="70"/>
      <c r="C134" s="641">
        <f>'MA CLAIM FORM'!C29:E29</f>
        <v>0</v>
      </c>
      <c r="D134" s="642" t="e">
        <f>IF(#REF!="","",#REF!*#REF!*A134)</f>
        <v>#REF!</v>
      </c>
      <c r="E134" s="643" t="e">
        <f>IF(#REF!="","",A134*#REF!*B134)</f>
        <v>#REF!</v>
      </c>
      <c r="F134" s="25"/>
      <c r="G134" s="25"/>
      <c r="H134" s="400"/>
      <c r="I134" s="731" t="s">
        <v>338</v>
      </c>
      <c r="J134" s="911"/>
      <c r="K134" s="911"/>
      <c r="L134" s="794">
        <f>M112</f>
        <v>0</v>
      </c>
      <c r="M134" s="795"/>
    </row>
    <row r="135" spans="1:13" ht="15" customHeight="1" x14ac:dyDescent="0.25">
      <c r="A135" s="89"/>
      <c r="B135" s="70"/>
      <c r="C135" s="93"/>
      <c r="D135" s="93"/>
      <c r="E135" s="93"/>
      <c r="F135"/>
      <c r="G135"/>
      <c r="H135" s="400"/>
      <c r="I135" s="731" t="s">
        <v>340</v>
      </c>
      <c r="J135" s="911"/>
      <c r="K135" s="911"/>
      <c r="L135" s="794">
        <f>M98</f>
        <v>0</v>
      </c>
      <c r="M135" s="795"/>
    </row>
    <row r="136" spans="1:13" ht="15" customHeight="1" thickBot="1" x14ac:dyDescent="0.3">
      <c r="A136" s="89" t="s">
        <v>136</v>
      </c>
      <c r="B136" s="70"/>
      <c r="C136" s="641">
        <f>'MA CLAIM FORM'!C31:E31</f>
        <v>0</v>
      </c>
      <c r="D136" s="642" t="e">
        <f>IF(#REF!="","",#REF!*#REF!*A136)</f>
        <v>#REF!</v>
      </c>
      <c r="E136" s="643" t="e">
        <f>IF(#REF!="","",A136*#REF!*B136)</f>
        <v>#REF!</v>
      </c>
      <c r="F136"/>
      <c r="G136"/>
      <c r="H136" s="400"/>
      <c r="I136" s="909" t="s">
        <v>339</v>
      </c>
      <c r="J136" s="910"/>
      <c r="K136" s="910"/>
      <c r="L136" s="893">
        <f>M128</f>
        <v>0</v>
      </c>
      <c r="M136" s="894"/>
    </row>
    <row r="137" spans="1:13" ht="16.5" thickBot="1" x14ac:dyDescent="0.3">
      <c r="A137" s="201"/>
      <c r="B137" s="861"/>
      <c r="C137" s="861"/>
      <c r="D137" s="861"/>
      <c r="E137" s="861"/>
      <c r="F137" s="861"/>
      <c r="G137" s="861"/>
      <c r="H137" s="861"/>
      <c r="I137" s="907"/>
      <c r="J137" s="908"/>
      <c r="K137" s="908"/>
      <c r="L137" s="905"/>
      <c r="M137" s="906"/>
    </row>
    <row r="138" spans="1:13" ht="21" thickBot="1" x14ac:dyDescent="0.35">
      <c r="A138" s="416" t="s">
        <v>381</v>
      </c>
      <c r="B138"/>
      <c r="C138" s="752"/>
      <c r="D138" s="753"/>
      <c r="E138" s="753"/>
      <c r="F138" s="753"/>
      <c r="G138" s="754"/>
      <c r="H138" s="70"/>
      <c r="I138" s="800" t="s">
        <v>361</v>
      </c>
      <c r="J138" s="801"/>
      <c r="K138" s="801"/>
      <c r="L138" s="798">
        <f>SUM(L132:M137)</f>
        <v>0</v>
      </c>
      <c r="M138" s="799"/>
    </row>
    <row r="139" spans="1:13" x14ac:dyDescent="0.2">
      <c r="A139" s="19"/>
      <c r="B139"/>
      <c r="C139" s="755"/>
      <c r="D139" s="756"/>
      <c r="E139" s="756"/>
      <c r="F139" s="756"/>
      <c r="G139" s="757"/>
      <c r="H139" s="70"/>
      <c r="I139" s="70"/>
      <c r="J139" s="70"/>
      <c r="K139" s="70"/>
      <c r="L139" s="70"/>
      <c r="M139" s="70"/>
    </row>
    <row r="140" spans="1:13" x14ac:dyDescent="0.2">
      <c r="A140" s="19"/>
      <c r="B140"/>
      <c r="C140" s="755"/>
      <c r="D140" s="756"/>
      <c r="E140" s="756"/>
      <c r="F140" s="756"/>
      <c r="G140" s="757"/>
      <c r="H140" s="70"/>
      <c r="I140" s="70"/>
      <c r="J140" s="70"/>
      <c r="K140" s="70"/>
      <c r="L140" s="70"/>
      <c r="M140" s="70"/>
    </row>
    <row r="141" spans="1:13" ht="15.75" thickBot="1" x14ac:dyDescent="0.25">
      <c r="A141" s="19"/>
      <c r="B141"/>
      <c r="C141" s="758"/>
      <c r="D141" s="759"/>
      <c r="E141" s="759"/>
      <c r="F141" s="759"/>
      <c r="G141" s="760"/>
      <c r="I141" s="70"/>
      <c r="J141" s="70"/>
      <c r="K141" s="70"/>
      <c r="L141" s="70"/>
      <c r="M141" s="70"/>
    </row>
    <row r="142" spans="1:13" ht="15.75" thickBot="1" x14ac:dyDescent="0.25">
      <c r="A142" s="79"/>
      <c r="D142" s="73" t="s">
        <v>106</v>
      </c>
    </row>
    <row r="143" spans="1:13" ht="15.75" thickBot="1" x14ac:dyDescent="0.25">
      <c r="A143" s="786" t="str">
        <f>'MA CLAIM FORM'!A158:M158</f>
        <v>USER NOTES:</v>
      </c>
      <c r="B143" s="787"/>
      <c r="C143" s="787"/>
      <c r="D143" s="787"/>
      <c r="E143" s="787"/>
      <c r="F143" s="787"/>
      <c r="G143" s="787"/>
      <c r="H143" s="787"/>
      <c r="I143" s="787"/>
      <c r="J143" s="787"/>
      <c r="K143" s="787"/>
      <c r="L143" s="787"/>
      <c r="M143" s="788"/>
    </row>
    <row r="144" spans="1:13" ht="15.75" thickBot="1" x14ac:dyDescent="0.25">
      <c r="A144" s="786" t="str">
        <f>'MA CLAIM FORM'!A159:M159</f>
        <v xml:space="preserve">1.THIS CLAIM FORM  SHOULD BE USED IN CONJUNCTION WITH THE NPCC GUIDANCE: CHARGING FOR POLICE SERVICES: MUTUAL AID COST RECOVERY.  </v>
      </c>
      <c r="B144" s="787"/>
      <c r="C144" s="787"/>
      <c r="D144" s="787"/>
      <c r="E144" s="787"/>
      <c r="F144" s="787"/>
      <c r="G144" s="787"/>
      <c r="H144" s="787"/>
      <c r="I144" s="787"/>
      <c r="J144" s="787"/>
      <c r="K144" s="787"/>
      <c r="L144" s="787"/>
      <c r="M144" s="788"/>
    </row>
    <row r="145" spans="1:13" ht="15.95" customHeight="1" thickBot="1" x14ac:dyDescent="0.25">
      <c r="A145" s="786" t="str">
        <f>'MA CLAIM FORM'!A160:M160</f>
        <v>2.THIS FORM AND THE GUIDANCE WILL BE  UPDATED ANNUALLY WITH NEW CHARGING RATES AND ANY REGULATION OR GUIDANCE CHANGES.</v>
      </c>
      <c r="B145" s="787"/>
      <c r="C145" s="787"/>
      <c r="D145" s="787"/>
      <c r="E145" s="787"/>
      <c r="F145" s="787"/>
      <c r="G145" s="787"/>
      <c r="H145" s="787"/>
      <c r="I145" s="787"/>
      <c r="J145" s="787"/>
      <c r="K145" s="787"/>
      <c r="L145" s="787"/>
      <c r="M145" s="788"/>
    </row>
    <row r="146" spans="1:13" ht="15.75" thickBot="1" x14ac:dyDescent="0.25">
      <c r="A146" s="786" t="str">
        <f>'MA CLAIM FORM'!A161:M161</f>
        <v>3. IF DEPLOYMENT CROSSES MAR/APR DATE BOUNDARY THEN A SEPARATE FORM FOR EACH FINANCIAL YEAR SHOULD BE USED (DUE TO RATE CHANGES)</v>
      </c>
      <c r="B146" s="787"/>
      <c r="C146" s="787"/>
      <c r="D146" s="787"/>
      <c r="E146" s="787"/>
      <c r="F146" s="787"/>
      <c r="G146" s="787"/>
      <c r="H146" s="787"/>
      <c r="I146" s="787"/>
      <c r="J146" s="787"/>
      <c r="K146" s="787"/>
      <c r="L146" s="787"/>
      <c r="M146" s="788"/>
    </row>
    <row r="147" spans="1:13" x14ac:dyDescent="0.2">
      <c r="A147" s="786" t="str">
        <f>'MA CLAIM FORM'!A162:M162</f>
        <v xml:space="preserve">4. ONLY ONE CLAIM FORM SHOULD BE USED PER FORCE, EXCEPT WHERE FORM CAPACITY EXCEEDED OR CLAIM SPANS MULTIPLE FINANCIAL YEARS. </v>
      </c>
      <c r="B147" s="787"/>
      <c r="C147" s="787"/>
      <c r="D147" s="787"/>
      <c r="E147" s="787"/>
      <c r="F147" s="787"/>
      <c r="G147" s="787"/>
      <c r="H147" s="787"/>
      <c r="I147" s="787"/>
      <c r="J147" s="787"/>
      <c r="K147" s="787"/>
      <c r="L147" s="787"/>
      <c r="M147" s="788"/>
    </row>
    <row r="148" spans="1:13" ht="15.75" thickBot="1" x14ac:dyDescent="0.25">
      <c r="A148"/>
      <c r="B148"/>
      <c r="C148"/>
      <c r="D148"/>
      <c r="E148"/>
      <c r="F148"/>
      <c r="G148"/>
      <c r="H148"/>
      <c r="I148"/>
      <c r="J148"/>
      <c r="K148"/>
      <c r="L148"/>
      <c r="M148"/>
    </row>
    <row r="149" spans="1:13" x14ac:dyDescent="0.2">
      <c r="A149" s="163" t="s">
        <v>249</v>
      </c>
      <c r="B149" s="161"/>
      <c r="C149" s="161"/>
      <c r="D149" s="162"/>
      <c r="E149"/>
      <c r="F149" s="774" t="s">
        <v>247</v>
      </c>
      <c r="G149" s="775"/>
      <c r="H149" s="775"/>
      <c r="I149" s="775"/>
      <c r="J149" s="775"/>
      <c r="K149" s="775"/>
      <c r="L149" s="775"/>
      <c r="M149" s="776"/>
    </row>
    <row r="150" spans="1:13" x14ac:dyDescent="0.2">
      <c r="A150" s="268"/>
      <c r="B150" s="749" t="str">
        <f>'MA CLAIM FORM'!B165</f>
        <v>Drop down list available</v>
      </c>
      <c r="C150" s="750"/>
      <c r="D150" s="751"/>
      <c r="E150"/>
      <c r="F150" s="777"/>
      <c r="G150" s="778"/>
      <c r="H150" s="778"/>
      <c r="I150" s="778"/>
      <c r="J150" s="778"/>
      <c r="K150" s="778"/>
      <c r="L150" s="778"/>
      <c r="M150" s="779"/>
    </row>
    <row r="151" spans="1:13" x14ac:dyDescent="0.2">
      <c r="A151" s="267"/>
      <c r="B151" s="749" t="str">
        <f>'MA CLAIM FORM'!B166</f>
        <v>Values must be entered to enable calculations</v>
      </c>
      <c r="C151" s="750"/>
      <c r="D151" s="904"/>
      <c r="E151"/>
      <c r="F151" s="777"/>
      <c r="G151" s="778"/>
      <c r="H151" s="778"/>
      <c r="I151" s="778"/>
      <c r="J151" s="778"/>
      <c r="K151" s="778"/>
      <c r="L151" s="778"/>
      <c r="M151" s="779"/>
    </row>
    <row r="152" spans="1:13" ht="15.75" x14ac:dyDescent="0.25">
      <c r="A152" s="269" t="s">
        <v>313</v>
      </c>
      <c r="B152" s="749" t="str">
        <f>'MA CLAIM FORM'!B167</f>
        <v>Calculations automatically completed</v>
      </c>
      <c r="C152" s="750"/>
      <c r="D152" s="904"/>
      <c r="E152"/>
      <c r="F152" s="777"/>
      <c r="G152" s="778"/>
      <c r="H152" s="778"/>
      <c r="I152" s="778"/>
      <c r="J152" s="778"/>
      <c r="K152" s="778"/>
      <c r="L152" s="778"/>
      <c r="M152" s="779"/>
    </row>
    <row r="153" spans="1:13" x14ac:dyDescent="0.2">
      <c r="A153" s="270"/>
      <c r="B153" s="749" t="str">
        <f>'MA CLAIM FORM'!B168</f>
        <v>Value either calculated or can be overwritten</v>
      </c>
      <c r="C153" s="750"/>
      <c r="D153" s="904"/>
      <c r="E153"/>
      <c r="F153" s="777"/>
      <c r="G153" s="778"/>
      <c r="H153" s="778"/>
      <c r="I153" s="778"/>
      <c r="J153" s="778"/>
      <c r="K153" s="778"/>
      <c r="L153" s="778"/>
      <c r="M153" s="779"/>
    </row>
    <row r="154" spans="1:13" ht="15.75" thickBot="1" x14ac:dyDescent="0.25">
      <c r="A154" s="199"/>
      <c r="B154" s="749" t="str">
        <f>'MA CLAIM FORM'!B169</f>
        <v>Free text fields for notes/references</v>
      </c>
      <c r="C154" s="750"/>
      <c r="D154" s="904"/>
      <c r="E154"/>
      <c r="F154" s="780"/>
      <c r="G154" s="781"/>
      <c r="H154" s="781"/>
      <c r="I154" s="781"/>
      <c r="J154" s="781"/>
      <c r="K154" s="781"/>
      <c r="L154" s="781"/>
      <c r="M154" s="782"/>
    </row>
    <row r="155" spans="1:13" x14ac:dyDescent="0.2">
      <c r="A155" s="19"/>
      <c r="B155" s="200"/>
      <c r="C155" s="19"/>
      <c r="D155" s="19"/>
      <c r="E155"/>
    </row>
  </sheetData>
  <sheetProtection selectLockedCells="1"/>
  <protectedRanges>
    <protectedRange password="C534" sqref="C76:I77 C99:I99 C68:C75 F69:I75 F68:H68" name="Input_Personnel_3"/>
    <protectedRange password="C534" sqref="L27 L45" name="Input_Personnel_3_2"/>
    <protectedRange sqref="G24 A25" name="Mutual aid Grade_1"/>
    <protectedRange password="C534" sqref="D68:E75" name="Input_Personnel_3_2_2"/>
  </protectedRanges>
  <mergeCells count="156">
    <mergeCell ref="B150:D150"/>
    <mergeCell ref="B151:D151"/>
    <mergeCell ref="B152:D152"/>
    <mergeCell ref="B154:D154"/>
    <mergeCell ref="B153:D153"/>
    <mergeCell ref="F149:M154"/>
    <mergeCell ref="C132:E132"/>
    <mergeCell ref="C134:E134"/>
    <mergeCell ref="C136:E136"/>
    <mergeCell ref="C138:G141"/>
    <mergeCell ref="A143:M143"/>
    <mergeCell ref="A144:M144"/>
    <mergeCell ref="A145:M145"/>
    <mergeCell ref="A146:M146"/>
    <mergeCell ref="A147:M147"/>
    <mergeCell ref="L137:M137"/>
    <mergeCell ref="I138:K138"/>
    <mergeCell ref="I137:K137"/>
    <mergeCell ref="I136:K136"/>
    <mergeCell ref="I135:K135"/>
    <mergeCell ref="I134:K134"/>
    <mergeCell ref="I133:K133"/>
    <mergeCell ref="I132:K132"/>
    <mergeCell ref="L133:M133"/>
    <mergeCell ref="L134:M134"/>
    <mergeCell ref="L135:M135"/>
    <mergeCell ref="L136:M136"/>
    <mergeCell ref="D126:H126"/>
    <mergeCell ref="D127:H127"/>
    <mergeCell ref="K128:L128"/>
    <mergeCell ref="I130:M131"/>
    <mergeCell ref="D4:J11"/>
    <mergeCell ref="A6:C10"/>
    <mergeCell ref="K6:M10"/>
    <mergeCell ref="L132:M132"/>
    <mergeCell ref="A62:M63"/>
    <mergeCell ref="D118:H118"/>
    <mergeCell ref="K118:L118"/>
    <mergeCell ref="D119:H119"/>
    <mergeCell ref="D120:H120"/>
    <mergeCell ref="D121:H121"/>
    <mergeCell ref="D122:H122"/>
    <mergeCell ref="D123:H123"/>
    <mergeCell ref="D124:H124"/>
    <mergeCell ref="D125:H125"/>
    <mergeCell ref="J78:M79"/>
    <mergeCell ref="K90:L90"/>
    <mergeCell ref="A100:H101"/>
    <mergeCell ref="J100:M101"/>
    <mergeCell ref="K112:L112"/>
    <mergeCell ref="C113:D113"/>
    <mergeCell ref="C114:D114"/>
    <mergeCell ref="A116:H117"/>
    <mergeCell ref="J116:M117"/>
    <mergeCell ref="A16:M17"/>
    <mergeCell ref="B20:H20"/>
    <mergeCell ref="R25:X26"/>
    <mergeCell ref="A41:H41"/>
    <mergeCell ref="L41:M41"/>
    <mergeCell ref="A27:H27"/>
    <mergeCell ref="A33:C33"/>
    <mergeCell ref="D33:F33"/>
    <mergeCell ref="G33:H33"/>
    <mergeCell ref="L39:M39"/>
    <mergeCell ref="J39:K39"/>
    <mergeCell ref="A31:C31"/>
    <mergeCell ref="L27:M27"/>
    <mergeCell ref="L33:M33"/>
    <mergeCell ref="G31:H31"/>
    <mergeCell ref="L32:M32"/>
    <mergeCell ref="L34:M34"/>
    <mergeCell ref="L35:M35"/>
    <mergeCell ref="A34:C34"/>
    <mergeCell ref="A32:C32"/>
    <mergeCell ref="L36:M36"/>
    <mergeCell ref="L37:M37"/>
    <mergeCell ref="D32:F32"/>
    <mergeCell ref="D34:F34"/>
    <mergeCell ref="D35:F35"/>
    <mergeCell ref="D36:F36"/>
    <mergeCell ref="B21:M21"/>
    <mergeCell ref="B22:M23"/>
    <mergeCell ref="G34:H34"/>
    <mergeCell ref="G35:H35"/>
    <mergeCell ref="G36:H36"/>
    <mergeCell ref="G37:H37"/>
    <mergeCell ref="D31:F31"/>
    <mergeCell ref="L31:M31"/>
    <mergeCell ref="A29:H30"/>
    <mergeCell ref="J29:M30"/>
    <mergeCell ref="A25:C25"/>
    <mergeCell ref="D25:F25"/>
    <mergeCell ref="H25:M25"/>
    <mergeCell ref="G32:H32"/>
    <mergeCell ref="D37:F37"/>
    <mergeCell ref="J47:M48"/>
    <mergeCell ref="A49:C49"/>
    <mergeCell ref="D49:F49"/>
    <mergeCell ref="G49:H49"/>
    <mergeCell ref="D53:F53"/>
    <mergeCell ref="A52:C52"/>
    <mergeCell ref="G38:H38"/>
    <mergeCell ref="A35:C35"/>
    <mergeCell ref="A36:C36"/>
    <mergeCell ref="A37:C37"/>
    <mergeCell ref="A38:C38"/>
    <mergeCell ref="L38:M38"/>
    <mergeCell ref="D38:F38"/>
    <mergeCell ref="K76:L76"/>
    <mergeCell ref="A92:H93"/>
    <mergeCell ref="J92:M93"/>
    <mergeCell ref="A78:H79"/>
    <mergeCell ref="A65:H66"/>
    <mergeCell ref="J65:M66"/>
    <mergeCell ref="D97:E97"/>
    <mergeCell ref="A45:H45"/>
    <mergeCell ref="L45:M45"/>
    <mergeCell ref="G52:H52"/>
    <mergeCell ref="L52:M52"/>
    <mergeCell ref="A53:C53"/>
    <mergeCell ref="L49:M49"/>
    <mergeCell ref="A50:C50"/>
    <mergeCell ref="D50:F50"/>
    <mergeCell ref="G50:H50"/>
    <mergeCell ref="L50:M50"/>
    <mergeCell ref="A51:C51"/>
    <mergeCell ref="D51:F51"/>
    <mergeCell ref="G51:H51"/>
    <mergeCell ref="L51:M51"/>
    <mergeCell ref="G53:H53"/>
    <mergeCell ref="L53:M53"/>
    <mergeCell ref="A47:H48"/>
    <mergeCell ref="D54:F54"/>
    <mergeCell ref="G54:H54"/>
    <mergeCell ref="L138:M138"/>
    <mergeCell ref="A56:C56"/>
    <mergeCell ref="D56:F56"/>
    <mergeCell ref="G56:H56"/>
    <mergeCell ref="L56:M56"/>
    <mergeCell ref="J57:K57"/>
    <mergeCell ref="L57:M57"/>
    <mergeCell ref="L54:M54"/>
    <mergeCell ref="A55:C55"/>
    <mergeCell ref="D55:F55"/>
    <mergeCell ref="G55:H55"/>
    <mergeCell ref="L55:M55"/>
    <mergeCell ref="A59:H59"/>
    <mergeCell ref="L59:M59"/>
    <mergeCell ref="A54:C54"/>
    <mergeCell ref="B98:H98"/>
    <mergeCell ref="B137:H137"/>
    <mergeCell ref="K98:L98"/>
    <mergeCell ref="D95:E95"/>
    <mergeCell ref="D96:E96"/>
    <mergeCell ref="D94:E94"/>
    <mergeCell ref="K94:L94"/>
  </mergeCells>
  <dataValidations count="11">
    <dataValidation type="list" allowBlank="1" showInputMessage="1" showErrorMessage="1" sqref="C68:C75">
      <formula1>Rank</formula1>
    </dataValidation>
    <dataValidation type="list" allowBlank="1" showInputMessage="1" showErrorMessage="1" sqref="C95:C97">
      <formula1>TDR</formula1>
    </dataValidation>
    <dataValidation type="list" allowBlank="1" showInputMessage="1" showErrorMessage="1" sqref="E76:E77 E99">
      <formula1>RESOURCES</formula1>
    </dataValidation>
    <dataValidation type="list" allowBlank="1" showInputMessage="1" showErrorMessage="1" sqref="D76:D77 D99">
      <formula1>ranksandg</formula1>
    </dataValidation>
    <dataValidation type="list" allowBlank="1" showInputMessage="1" showErrorMessage="1" sqref="C81:C89">
      <formula1>Allow</formula1>
    </dataValidation>
    <dataValidation type="list" allowBlank="1" showInputMessage="1" showErrorMessage="1" sqref="E90:E91 E128:E129">
      <formula1>allowt</formula1>
    </dataValidation>
    <dataValidation type="list" allowBlank="1" showInputMessage="1" showErrorMessage="1" sqref="E115 E112">
      <formula1>vehiclet</formula1>
    </dataValidation>
    <dataValidation type="list" allowBlank="1" showInputMessage="1" showErrorMessage="1" sqref="C103:C111">
      <formula1>Vehicle</formula1>
    </dataValidation>
    <dataValidation type="list" allowBlank="1" showInputMessage="1" showErrorMessage="1" sqref="C119:C127">
      <formula1>Consume</formula1>
    </dataValidation>
    <dataValidation type="list" allowBlank="1" showInputMessage="1" showErrorMessage="1" sqref="A4:A5">
      <formula1>Force</formula1>
    </dataValidation>
    <dataValidation type="list" allowBlank="1" showInputMessage="1" showErrorMessage="1" sqref="A25:C25 E68:E75">
      <formula1>MAG</formula1>
    </dataValidation>
  </dataValidations>
  <pageMargins left="0.35433070866141736" right="0.23622047244094491" top="0.39370078740157483" bottom="0.39370078740157483" header="0.19685039370078741" footer="0.31496062992125984"/>
  <pageSetup paperSize="9" scale="56" fitToHeight="2" orientation="portrait" horizontalDpi="4294967294" r:id="rId1"/>
  <headerFooter>
    <oddFooter>&amp;L&amp;8&amp;F&amp;R&amp;8&amp;P</oddFooter>
  </headerFooter>
  <rowBreaks count="1" manualBreakCount="1">
    <brk id="76" max="16383" man="1"/>
  </rowBreaks>
  <ignoredErrors>
    <ignoredError sqref="K68:K75 E113:E114 C132:E136"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M322"/>
  <sheetViews>
    <sheetView zoomScaleNormal="100" workbookViewId="0">
      <selection activeCell="D4" sqref="D4:J11"/>
    </sheetView>
  </sheetViews>
  <sheetFormatPr defaultColWidth="8.88671875" defaultRowHeight="12.75" x14ac:dyDescent="0.2"/>
  <cols>
    <col min="1" max="1" width="11.6640625" style="575" bestFit="1" customWidth="1"/>
    <col min="2" max="2" width="27" style="575" bestFit="1" customWidth="1"/>
    <col min="3" max="3" width="16.109375" style="575" bestFit="1" customWidth="1"/>
    <col min="4" max="4" width="5.88671875" style="587" bestFit="1" customWidth="1"/>
    <col min="5" max="5" width="7.5546875" style="575" bestFit="1" customWidth="1"/>
    <col min="6" max="12" width="4.77734375" style="575" bestFit="1" customWidth="1"/>
    <col min="13" max="16384" width="8.88671875" style="575"/>
  </cols>
  <sheetData>
    <row r="1" spans="1:13" x14ac:dyDescent="0.2">
      <c r="A1" s="570" t="s">
        <v>107</v>
      </c>
      <c r="B1" s="571" t="str">
        <f>CONCATENATE(C1&amp;A1)</f>
        <v>GRADE 0Constable</v>
      </c>
      <c r="C1" s="572" t="s">
        <v>141</v>
      </c>
      <c r="D1" s="573">
        <f>Ranks!B4</f>
        <v>57.32</v>
      </c>
      <c r="E1" s="574"/>
      <c r="M1" s="576"/>
    </row>
    <row r="2" spans="1:13" x14ac:dyDescent="0.2">
      <c r="A2" s="577" t="s">
        <v>108</v>
      </c>
      <c r="B2" s="578" t="str">
        <f t="shared" ref="B2:B40" si="0">CONCATENATE(C2&amp;A2)</f>
        <v>GRADE 0Sergeant</v>
      </c>
      <c r="C2" s="579" t="s">
        <v>141</v>
      </c>
      <c r="D2" s="580">
        <f>Ranks!B5</f>
        <v>72.92</v>
      </c>
      <c r="E2" s="574"/>
    </row>
    <row r="3" spans="1:13" x14ac:dyDescent="0.2">
      <c r="A3" s="577" t="s">
        <v>109</v>
      </c>
      <c r="B3" s="578" t="str">
        <f t="shared" si="0"/>
        <v>GRADE 0Inspector</v>
      </c>
      <c r="C3" s="579" t="s">
        <v>141</v>
      </c>
      <c r="D3" s="580">
        <f>Ranks!B6</f>
        <v>55.29</v>
      </c>
      <c r="E3" s="574"/>
    </row>
    <row r="4" spans="1:13" x14ac:dyDescent="0.2">
      <c r="A4" s="577" t="s">
        <v>110</v>
      </c>
      <c r="B4" s="578" t="str">
        <f t="shared" si="0"/>
        <v>GRADE 0Chief Inspector</v>
      </c>
      <c r="C4" s="579" t="s">
        <v>141</v>
      </c>
      <c r="D4" s="580">
        <f>Ranks!B7</f>
        <v>59.46</v>
      </c>
      <c r="E4" s="574"/>
    </row>
    <row r="5" spans="1:13" x14ac:dyDescent="0.2">
      <c r="A5" s="577" t="s">
        <v>111</v>
      </c>
      <c r="B5" s="578" t="str">
        <f t="shared" si="0"/>
        <v>GRADE 0Superintendent</v>
      </c>
      <c r="C5" s="579" t="s">
        <v>141</v>
      </c>
      <c r="D5" s="580">
        <f>Ranks!B8</f>
        <v>73.06</v>
      </c>
      <c r="E5" s="574"/>
    </row>
    <row r="6" spans="1:13" x14ac:dyDescent="0.2">
      <c r="A6" s="577" t="s">
        <v>185</v>
      </c>
      <c r="B6" s="578" t="str">
        <f t="shared" si="0"/>
        <v>GRADE 0C/Superintendent</v>
      </c>
      <c r="C6" s="579" t="s">
        <v>141</v>
      </c>
      <c r="D6" s="580">
        <f>Ranks!B9</f>
        <v>84.6</v>
      </c>
      <c r="E6" s="574"/>
    </row>
    <row r="7" spans="1:13" x14ac:dyDescent="0.2">
      <c r="A7" s="581" t="s">
        <v>387</v>
      </c>
      <c r="B7" s="582" t="str">
        <f t="shared" ref="B7" si="1">CONCATENATE(C7&amp;A7)</f>
        <v>GRADE 0Special Constable</v>
      </c>
      <c r="C7" s="583" t="s">
        <v>141</v>
      </c>
      <c r="D7" s="584">
        <f>Ranks!B10</f>
        <v>28.66</v>
      </c>
      <c r="E7" s="574"/>
      <c r="F7" s="585"/>
      <c r="G7" s="585"/>
      <c r="H7" s="585"/>
      <c r="I7" s="585"/>
      <c r="J7" s="585"/>
      <c r="K7" s="585"/>
      <c r="L7" s="585"/>
      <c r="M7" s="586"/>
    </row>
    <row r="8" spans="1:13" x14ac:dyDescent="0.2">
      <c r="A8" s="570" t="s">
        <v>107</v>
      </c>
      <c r="B8" s="571" t="str">
        <f t="shared" si="0"/>
        <v>GRADE 1Constable</v>
      </c>
      <c r="C8" s="572" t="s">
        <v>142</v>
      </c>
      <c r="D8" s="573">
        <f>Ranks!C4</f>
        <v>42.99</v>
      </c>
      <c r="E8" s="574"/>
      <c r="F8" s="585"/>
      <c r="G8" s="585"/>
      <c r="H8" s="585"/>
      <c r="I8" s="585"/>
      <c r="J8" s="585"/>
      <c r="K8" s="585"/>
      <c r="L8" s="585"/>
      <c r="M8" s="586"/>
    </row>
    <row r="9" spans="1:13" x14ac:dyDescent="0.2">
      <c r="A9" s="577" t="s">
        <v>108</v>
      </c>
      <c r="B9" s="578" t="str">
        <f t="shared" si="0"/>
        <v>GRADE 1Sergeant</v>
      </c>
      <c r="C9" s="579" t="s">
        <v>142</v>
      </c>
      <c r="D9" s="580">
        <f>Ranks!C5</f>
        <v>54.69</v>
      </c>
      <c r="E9" s="574"/>
      <c r="F9" s="586"/>
      <c r="G9" s="586"/>
      <c r="H9" s="586"/>
      <c r="I9" s="586"/>
      <c r="J9" s="586"/>
      <c r="K9" s="586"/>
      <c r="L9" s="586"/>
      <c r="M9" s="586"/>
    </row>
    <row r="10" spans="1:13" x14ac:dyDescent="0.2">
      <c r="A10" s="577" t="s">
        <v>109</v>
      </c>
      <c r="B10" s="578" t="str">
        <f t="shared" si="0"/>
        <v>GRADE 1Inspector</v>
      </c>
      <c r="C10" s="579" t="s">
        <v>142</v>
      </c>
      <c r="D10" s="580">
        <f>Ranks!C6</f>
        <v>55.29</v>
      </c>
      <c r="E10" s="574"/>
      <c r="F10" s="586"/>
      <c r="G10" s="586"/>
      <c r="H10" s="586"/>
      <c r="I10" s="586"/>
      <c r="J10" s="586"/>
      <c r="K10" s="586"/>
      <c r="L10" s="586"/>
      <c r="M10" s="586"/>
    </row>
    <row r="11" spans="1:13" x14ac:dyDescent="0.2">
      <c r="A11" s="577" t="s">
        <v>110</v>
      </c>
      <c r="B11" s="578" t="str">
        <f t="shared" si="0"/>
        <v>GRADE 1Chief Inspector</v>
      </c>
      <c r="C11" s="579" t="s">
        <v>142</v>
      </c>
      <c r="D11" s="580">
        <f>Ranks!C7</f>
        <v>59.46</v>
      </c>
      <c r="E11" s="574"/>
      <c r="F11" s="586"/>
      <c r="G11" s="586"/>
      <c r="H11" s="586"/>
      <c r="I11" s="586"/>
      <c r="J11" s="586"/>
      <c r="K11" s="586"/>
      <c r="L11" s="586"/>
      <c r="M11" s="586"/>
    </row>
    <row r="12" spans="1:13" x14ac:dyDescent="0.2">
      <c r="A12" s="577" t="s">
        <v>111</v>
      </c>
      <c r="B12" s="578" t="str">
        <f t="shared" si="0"/>
        <v>GRADE 1Superintendent</v>
      </c>
      <c r="C12" s="579" t="s">
        <v>142</v>
      </c>
      <c r="D12" s="580">
        <f>Ranks!C8</f>
        <v>73.06</v>
      </c>
      <c r="E12" s="574"/>
      <c r="F12" s="586"/>
      <c r="G12" s="586"/>
      <c r="H12" s="586"/>
      <c r="I12" s="586"/>
      <c r="J12" s="586"/>
      <c r="K12" s="586"/>
      <c r="L12" s="586"/>
      <c r="M12" s="586"/>
    </row>
    <row r="13" spans="1:13" x14ac:dyDescent="0.2">
      <c r="A13" s="577" t="s">
        <v>185</v>
      </c>
      <c r="B13" s="578" t="str">
        <f t="shared" si="0"/>
        <v>GRADE 1C/Superintendent</v>
      </c>
      <c r="C13" s="579" t="s">
        <v>142</v>
      </c>
      <c r="D13" s="580">
        <f>Ranks!C9</f>
        <v>84.6</v>
      </c>
      <c r="E13" s="574"/>
      <c r="F13" s="586"/>
      <c r="G13" s="586"/>
      <c r="H13" s="586"/>
      <c r="I13" s="586"/>
      <c r="J13" s="586"/>
      <c r="K13" s="586"/>
      <c r="L13" s="586"/>
      <c r="M13" s="586"/>
    </row>
    <row r="14" spans="1:13" x14ac:dyDescent="0.2">
      <c r="A14" s="581" t="s">
        <v>387</v>
      </c>
      <c r="B14" s="582" t="str">
        <f t="shared" si="0"/>
        <v>GRADE 1Special Constable</v>
      </c>
      <c r="C14" s="583" t="s">
        <v>142</v>
      </c>
      <c r="D14" s="584">
        <f>Ranks!C10</f>
        <v>21.495000000000001</v>
      </c>
      <c r="E14" s="574"/>
      <c r="F14" s="585"/>
      <c r="G14" s="585"/>
      <c r="H14" s="585"/>
      <c r="I14" s="585"/>
      <c r="J14" s="585"/>
      <c r="K14" s="585"/>
      <c r="L14" s="585"/>
      <c r="M14" s="586"/>
    </row>
    <row r="15" spans="1:13" x14ac:dyDescent="0.2">
      <c r="A15" s="570" t="s">
        <v>107</v>
      </c>
      <c r="B15" s="571" t="str">
        <f t="shared" si="0"/>
        <v>GRADE 2Constable</v>
      </c>
      <c r="C15" s="572" t="s">
        <v>143</v>
      </c>
      <c r="D15" s="573">
        <f>Ranks!D4</f>
        <v>38.119999999999997</v>
      </c>
      <c r="E15" s="574"/>
      <c r="F15" s="586"/>
      <c r="G15" s="586"/>
      <c r="H15" s="586"/>
      <c r="I15" s="586"/>
      <c r="J15" s="586"/>
      <c r="K15" s="586"/>
      <c r="L15" s="586"/>
      <c r="M15" s="586"/>
    </row>
    <row r="16" spans="1:13" x14ac:dyDescent="0.2">
      <c r="A16" s="577" t="s">
        <v>108</v>
      </c>
      <c r="B16" s="578" t="str">
        <f t="shared" si="0"/>
        <v>GRADE 2Sergeant</v>
      </c>
      <c r="C16" s="579" t="s">
        <v>143</v>
      </c>
      <c r="D16" s="580">
        <f>Ranks!D5</f>
        <v>48.49</v>
      </c>
      <c r="E16" s="574"/>
      <c r="F16" s="586"/>
      <c r="G16" s="586"/>
      <c r="H16" s="586"/>
      <c r="I16" s="586"/>
      <c r="J16" s="586"/>
      <c r="K16" s="586"/>
      <c r="L16" s="586"/>
      <c r="M16" s="586"/>
    </row>
    <row r="17" spans="1:13" x14ac:dyDescent="0.2">
      <c r="A17" s="577" t="s">
        <v>109</v>
      </c>
      <c r="B17" s="578" t="str">
        <f t="shared" si="0"/>
        <v>GRADE 2Inspector</v>
      </c>
      <c r="C17" s="579" t="s">
        <v>143</v>
      </c>
      <c r="D17" s="580">
        <f>Ranks!D6</f>
        <v>55.29</v>
      </c>
      <c r="E17" s="574"/>
      <c r="F17" s="586"/>
      <c r="G17" s="586"/>
      <c r="H17" s="586"/>
      <c r="I17" s="586"/>
      <c r="J17" s="586"/>
      <c r="K17" s="586"/>
      <c r="L17" s="586"/>
      <c r="M17" s="586"/>
    </row>
    <row r="18" spans="1:13" x14ac:dyDescent="0.2">
      <c r="A18" s="577" t="s">
        <v>110</v>
      </c>
      <c r="B18" s="578" t="str">
        <f t="shared" si="0"/>
        <v>GRADE 2Chief Inspector</v>
      </c>
      <c r="C18" s="579" t="s">
        <v>143</v>
      </c>
      <c r="D18" s="580">
        <f>Ranks!D7</f>
        <v>59.46</v>
      </c>
      <c r="E18" s="574"/>
      <c r="F18" s="586"/>
      <c r="G18" s="586"/>
      <c r="H18" s="586"/>
      <c r="I18" s="586"/>
      <c r="J18" s="586"/>
      <c r="K18" s="586"/>
      <c r="L18" s="586"/>
      <c r="M18" s="586"/>
    </row>
    <row r="19" spans="1:13" x14ac:dyDescent="0.2">
      <c r="A19" s="577" t="s">
        <v>111</v>
      </c>
      <c r="B19" s="578" t="str">
        <f t="shared" si="0"/>
        <v>GRADE 2Superintendent</v>
      </c>
      <c r="C19" s="579" t="s">
        <v>143</v>
      </c>
      <c r="D19" s="580">
        <f>Ranks!D8</f>
        <v>73.06</v>
      </c>
      <c r="E19" s="574"/>
      <c r="F19" s="586"/>
      <c r="G19" s="586"/>
      <c r="H19" s="586"/>
      <c r="I19" s="586"/>
      <c r="J19" s="586"/>
      <c r="K19" s="586"/>
      <c r="L19" s="586"/>
      <c r="M19" s="586"/>
    </row>
    <row r="20" spans="1:13" x14ac:dyDescent="0.2">
      <c r="A20" s="577" t="s">
        <v>185</v>
      </c>
      <c r="B20" s="578" t="str">
        <f t="shared" si="0"/>
        <v>GRADE 2C/Superintendent</v>
      </c>
      <c r="C20" s="579" t="s">
        <v>143</v>
      </c>
      <c r="D20" s="580">
        <f>Ranks!D9</f>
        <v>84.6</v>
      </c>
      <c r="E20" s="574"/>
      <c r="F20" s="586"/>
      <c r="G20" s="586"/>
      <c r="H20" s="586"/>
      <c r="I20" s="586"/>
      <c r="J20" s="586"/>
      <c r="K20" s="586"/>
      <c r="L20" s="586"/>
      <c r="M20" s="586"/>
    </row>
    <row r="21" spans="1:13" x14ac:dyDescent="0.2">
      <c r="A21" s="581" t="s">
        <v>387</v>
      </c>
      <c r="B21" s="582" t="str">
        <f t="shared" ref="B21:B27" si="2">CONCATENATE(C21&amp;A21)</f>
        <v>GRADE 2Special Constable</v>
      </c>
      <c r="C21" s="583" t="s">
        <v>143</v>
      </c>
      <c r="D21" s="584">
        <f>Ranks!D10</f>
        <v>19.059999999999999</v>
      </c>
      <c r="E21" s="574"/>
      <c r="F21" s="585"/>
      <c r="G21" s="585"/>
      <c r="H21" s="585"/>
      <c r="I21" s="585"/>
      <c r="J21" s="585"/>
      <c r="K21" s="585"/>
      <c r="L21" s="585"/>
      <c r="M21" s="586"/>
    </row>
    <row r="22" spans="1:13" x14ac:dyDescent="0.2">
      <c r="A22" s="577" t="s">
        <v>107</v>
      </c>
      <c r="B22" s="578" t="str">
        <f t="shared" si="2"/>
        <v>GRADE 3Constable</v>
      </c>
      <c r="C22" s="579" t="s">
        <v>407</v>
      </c>
      <c r="D22" s="580">
        <f>Ranks!E4</f>
        <v>42.99</v>
      </c>
      <c r="E22" s="574"/>
      <c r="F22" s="586"/>
      <c r="G22" s="586"/>
      <c r="H22" s="586"/>
      <c r="I22" s="586"/>
      <c r="J22" s="586"/>
      <c r="K22" s="586"/>
      <c r="L22" s="586"/>
      <c r="M22" s="586"/>
    </row>
    <row r="23" spans="1:13" x14ac:dyDescent="0.2">
      <c r="A23" s="577" t="s">
        <v>108</v>
      </c>
      <c r="B23" s="578" t="str">
        <f t="shared" si="2"/>
        <v>GRADE 3Sergeant</v>
      </c>
      <c r="C23" s="579" t="s">
        <v>407</v>
      </c>
      <c r="D23" s="580">
        <f>Ranks!E5</f>
        <v>54.69</v>
      </c>
      <c r="E23" s="574"/>
      <c r="F23" s="586"/>
      <c r="G23" s="586"/>
      <c r="H23" s="586"/>
      <c r="I23" s="586"/>
      <c r="J23" s="586"/>
      <c r="K23" s="586"/>
      <c r="L23" s="586"/>
      <c r="M23" s="586"/>
    </row>
    <row r="24" spans="1:13" x14ac:dyDescent="0.2">
      <c r="A24" s="577" t="s">
        <v>109</v>
      </c>
      <c r="B24" s="578" t="str">
        <f t="shared" si="2"/>
        <v>GRADE 3Inspector</v>
      </c>
      <c r="C24" s="579" t="s">
        <v>407</v>
      </c>
      <c r="D24" s="580">
        <f>Ranks!E6</f>
        <v>66.349999999999994</v>
      </c>
      <c r="E24" s="574"/>
      <c r="F24" s="586"/>
      <c r="G24" s="586"/>
      <c r="H24" s="586"/>
      <c r="I24" s="586"/>
      <c r="J24" s="586"/>
      <c r="K24" s="586"/>
      <c r="L24" s="586"/>
      <c r="M24" s="586"/>
    </row>
    <row r="25" spans="1:13" x14ac:dyDescent="0.2">
      <c r="A25" s="577" t="s">
        <v>110</v>
      </c>
      <c r="B25" s="578" t="str">
        <f t="shared" si="2"/>
        <v>GRADE 3Chief Inspector</v>
      </c>
      <c r="C25" s="579" t="s">
        <v>407</v>
      </c>
      <c r="D25" s="580">
        <f>Ranks!E7</f>
        <v>71.349999999999994</v>
      </c>
      <c r="E25" s="574"/>
      <c r="F25" s="586"/>
      <c r="G25" s="586"/>
      <c r="H25" s="586"/>
      <c r="I25" s="586"/>
      <c r="J25" s="586"/>
      <c r="K25" s="586"/>
      <c r="L25" s="586"/>
      <c r="M25" s="586"/>
    </row>
    <row r="26" spans="1:13" x14ac:dyDescent="0.2">
      <c r="A26" s="577" t="s">
        <v>111</v>
      </c>
      <c r="B26" s="578" t="str">
        <f t="shared" si="2"/>
        <v>GRADE 3Superintendent</v>
      </c>
      <c r="C26" s="579" t="s">
        <v>407</v>
      </c>
      <c r="D26" s="580">
        <f>Ranks!E8</f>
        <v>87.67</v>
      </c>
      <c r="E26" s="574"/>
      <c r="F26" s="586"/>
      <c r="G26" s="586"/>
      <c r="H26" s="586"/>
      <c r="I26" s="586"/>
      <c r="J26" s="586"/>
      <c r="K26" s="586"/>
      <c r="L26" s="586"/>
      <c r="M26" s="586"/>
    </row>
    <row r="27" spans="1:13" x14ac:dyDescent="0.2">
      <c r="A27" s="577" t="s">
        <v>185</v>
      </c>
      <c r="B27" s="578" t="str">
        <f t="shared" si="2"/>
        <v>GRADE 3C/Superintendent</v>
      </c>
      <c r="C27" s="579" t="s">
        <v>407</v>
      </c>
      <c r="D27" s="580">
        <f>Ranks!E9</f>
        <v>101.52</v>
      </c>
      <c r="E27" s="574"/>
      <c r="F27" s="586"/>
      <c r="G27" s="586"/>
      <c r="H27" s="586"/>
      <c r="I27" s="586"/>
      <c r="J27" s="586"/>
      <c r="K27" s="586"/>
      <c r="L27" s="586"/>
      <c r="M27" s="586"/>
    </row>
    <row r="28" spans="1:13" x14ac:dyDescent="0.2">
      <c r="A28" s="581" t="s">
        <v>387</v>
      </c>
      <c r="B28" s="582" t="str">
        <f t="shared" ref="B28" si="3">CONCATENATE(C28&amp;A28)</f>
        <v>GRADE 3Special Constable</v>
      </c>
      <c r="C28" s="579" t="s">
        <v>407</v>
      </c>
      <c r="D28" s="580">
        <f>Ranks!E10</f>
        <v>21.495000000000001</v>
      </c>
      <c r="E28" s="574"/>
      <c r="F28" s="585"/>
      <c r="G28" s="585"/>
      <c r="H28" s="585"/>
      <c r="I28" s="585"/>
      <c r="J28" s="585"/>
      <c r="K28" s="585"/>
      <c r="L28" s="585"/>
      <c r="M28" s="586"/>
    </row>
    <row r="29" spans="1:13" x14ac:dyDescent="0.2">
      <c r="A29" s="570" t="s">
        <v>107</v>
      </c>
      <c r="B29" s="571" t="str">
        <f t="shared" si="0"/>
        <v>ATTACHMENTConstable</v>
      </c>
      <c r="C29" s="572" t="s">
        <v>162</v>
      </c>
      <c r="D29" s="573">
        <f>Ranks!F4</f>
        <v>0</v>
      </c>
      <c r="E29" s="574"/>
      <c r="F29" s="586"/>
      <c r="G29" s="586"/>
      <c r="H29" s="586"/>
      <c r="I29" s="586"/>
      <c r="J29" s="586"/>
      <c r="K29" s="586"/>
      <c r="L29" s="586"/>
      <c r="M29" s="586"/>
    </row>
    <row r="30" spans="1:13" x14ac:dyDescent="0.2">
      <c r="A30" s="577" t="s">
        <v>108</v>
      </c>
      <c r="B30" s="578" t="str">
        <f t="shared" si="0"/>
        <v>ATTACHMENTSergeant</v>
      </c>
      <c r="C30" s="579" t="s">
        <v>162</v>
      </c>
      <c r="D30" s="580">
        <f>Ranks!F5</f>
        <v>0</v>
      </c>
      <c r="E30" s="574"/>
    </row>
    <row r="31" spans="1:13" x14ac:dyDescent="0.2">
      <c r="A31" s="577" t="s">
        <v>109</v>
      </c>
      <c r="B31" s="578" t="str">
        <f t="shared" si="0"/>
        <v>ATTACHMENTInspector</v>
      </c>
      <c r="C31" s="579" t="s">
        <v>162</v>
      </c>
      <c r="D31" s="580">
        <f>Ranks!F6</f>
        <v>0</v>
      </c>
      <c r="E31" s="574"/>
    </row>
    <row r="32" spans="1:13" x14ac:dyDescent="0.2">
      <c r="A32" s="577" t="s">
        <v>110</v>
      </c>
      <c r="B32" s="578" t="str">
        <f t="shared" si="0"/>
        <v>ATTACHMENTChief Inspector</v>
      </c>
      <c r="C32" s="579" t="s">
        <v>162</v>
      </c>
      <c r="D32" s="580">
        <f>Ranks!F7</f>
        <v>0</v>
      </c>
      <c r="E32" s="574"/>
    </row>
    <row r="33" spans="1:5" x14ac:dyDescent="0.2">
      <c r="A33" s="577" t="s">
        <v>111</v>
      </c>
      <c r="B33" s="578" t="str">
        <f t="shared" si="0"/>
        <v>ATTACHMENTSuperintendent</v>
      </c>
      <c r="C33" s="579" t="s">
        <v>162</v>
      </c>
      <c r="D33" s="580">
        <f>Ranks!F8</f>
        <v>0</v>
      </c>
      <c r="E33" s="574"/>
    </row>
    <row r="34" spans="1:5" x14ac:dyDescent="0.2">
      <c r="A34" s="581" t="s">
        <v>185</v>
      </c>
      <c r="B34" s="582" t="str">
        <f t="shared" si="0"/>
        <v>ATTACHMENTC/Superintendent</v>
      </c>
      <c r="C34" s="583" t="s">
        <v>162</v>
      </c>
      <c r="D34" s="584">
        <f>Ranks!F9</f>
        <v>0</v>
      </c>
      <c r="E34" s="574"/>
    </row>
    <row r="35" spans="1:5" ht="25.5" x14ac:dyDescent="0.2">
      <c r="A35" s="570" t="s">
        <v>107</v>
      </c>
      <c r="B35" s="571" t="str">
        <f t="shared" si="0"/>
        <v>PROLONGED MUTUAL AIDConstable</v>
      </c>
      <c r="C35" s="572" t="s">
        <v>159</v>
      </c>
      <c r="D35" s="573">
        <f>Ranks!G4</f>
        <v>0</v>
      </c>
      <c r="E35" s="574"/>
    </row>
    <row r="36" spans="1:5" ht="25.5" x14ac:dyDescent="0.2">
      <c r="A36" s="577" t="s">
        <v>108</v>
      </c>
      <c r="B36" s="578" t="str">
        <f t="shared" si="0"/>
        <v>PROLONGED MUTUAL AIDSergeant</v>
      </c>
      <c r="C36" s="579" t="s">
        <v>159</v>
      </c>
      <c r="D36" s="580">
        <f>Ranks!G5</f>
        <v>0</v>
      </c>
      <c r="E36" s="574"/>
    </row>
    <row r="37" spans="1:5" ht="25.5" x14ac:dyDescent="0.2">
      <c r="A37" s="577" t="s">
        <v>109</v>
      </c>
      <c r="B37" s="578" t="str">
        <f t="shared" si="0"/>
        <v>PROLONGED MUTUAL AIDInspector</v>
      </c>
      <c r="C37" s="579" t="s">
        <v>159</v>
      </c>
      <c r="D37" s="580">
        <f>Ranks!G6</f>
        <v>0</v>
      </c>
      <c r="E37" s="574"/>
    </row>
    <row r="38" spans="1:5" ht="25.5" x14ac:dyDescent="0.2">
      <c r="A38" s="577" t="s">
        <v>110</v>
      </c>
      <c r="B38" s="578" t="str">
        <f t="shared" si="0"/>
        <v>PROLONGED MUTUAL AIDChief Inspector</v>
      </c>
      <c r="C38" s="579" t="s">
        <v>159</v>
      </c>
      <c r="D38" s="580">
        <f>Ranks!G7</f>
        <v>0</v>
      </c>
      <c r="E38" s="574"/>
    </row>
    <row r="39" spans="1:5" ht="25.5" x14ac:dyDescent="0.2">
      <c r="A39" s="577" t="s">
        <v>111</v>
      </c>
      <c r="B39" s="578" t="str">
        <f t="shared" si="0"/>
        <v>PROLONGED MUTUAL AIDSuperintendent</v>
      </c>
      <c r="C39" s="579" t="s">
        <v>159</v>
      </c>
      <c r="D39" s="580">
        <f>Ranks!G8</f>
        <v>0</v>
      </c>
      <c r="E39" s="574"/>
    </row>
    <row r="40" spans="1:5" ht="25.5" x14ac:dyDescent="0.2">
      <c r="A40" s="581" t="s">
        <v>185</v>
      </c>
      <c r="B40" s="582" t="str">
        <f t="shared" si="0"/>
        <v>PROLONGED MUTUAL AIDC/Superintendent</v>
      </c>
      <c r="C40" s="583" t="s">
        <v>159</v>
      </c>
      <c r="D40" s="584">
        <f>Ranks!G9</f>
        <v>0</v>
      </c>
      <c r="E40" s="574"/>
    </row>
    <row r="41" spans="1:5" x14ac:dyDescent="0.2">
      <c r="A41" s="570" t="s">
        <v>107</v>
      </c>
      <c r="B41" s="571" t="str">
        <f t="shared" ref="B41:B46" si="4">CONCATENATE(C41&amp;A41)</f>
        <v>SECONDMENTConstable</v>
      </c>
      <c r="C41" s="572" t="s">
        <v>160</v>
      </c>
      <c r="D41" s="573">
        <f>D29</f>
        <v>0</v>
      </c>
      <c r="E41" s="574"/>
    </row>
    <row r="42" spans="1:5" x14ac:dyDescent="0.2">
      <c r="A42" s="577" t="s">
        <v>108</v>
      </c>
      <c r="B42" s="578" t="str">
        <f t="shared" si="4"/>
        <v>SECONDMENTSergeant</v>
      </c>
      <c r="C42" s="579" t="s">
        <v>160</v>
      </c>
      <c r="D42" s="580">
        <f t="shared" ref="D42:D46" si="5">D30</f>
        <v>0</v>
      </c>
      <c r="E42" s="574"/>
    </row>
    <row r="43" spans="1:5" x14ac:dyDescent="0.2">
      <c r="A43" s="577" t="s">
        <v>109</v>
      </c>
      <c r="B43" s="578" t="str">
        <f t="shared" si="4"/>
        <v>SECONDMENTInspector</v>
      </c>
      <c r="C43" s="579" t="s">
        <v>160</v>
      </c>
      <c r="D43" s="580">
        <f t="shared" si="5"/>
        <v>0</v>
      </c>
      <c r="E43" s="574"/>
    </row>
    <row r="44" spans="1:5" x14ac:dyDescent="0.2">
      <c r="A44" s="577" t="s">
        <v>110</v>
      </c>
      <c r="B44" s="578" t="str">
        <f t="shared" si="4"/>
        <v>SECONDMENTChief Inspector</v>
      </c>
      <c r="C44" s="579" t="s">
        <v>160</v>
      </c>
      <c r="D44" s="580">
        <f t="shared" si="5"/>
        <v>0</v>
      </c>
      <c r="E44" s="574"/>
    </row>
    <row r="45" spans="1:5" x14ac:dyDescent="0.2">
      <c r="A45" s="577" t="s">
        <v>111</v>
      </c>
      <c r="B45" s="578" t="str">
        <f t="shared" si="4"/>
        <v>SECONDMENTSuperintendent</v>
      </c>
      <c r="C45" s="579" t="s">
        <v>160</v>
      </c>
      <c r="D45" s="580">
        <f t="shared" si="5"/>
        <v>0</v>
      </c>
      <c r="E45" s="574"/>
    </row>
    <row r="46" spans="1:5" x14ac:dyDescent="0.2">
      <c r="A46" s="581" t="s">
        <v>185</v>
      </c>
      <c r="B46" s="582" t="str">
        <f t="shared" si="4"/>
        <v>SECONDMENTC/Superintendent</v>
      </c>
      <c r="C46" s="583" t="s">
        <v>160</v>
      </c>
      <c r="D46" s="584">
        <f t="shared" si="5"/>
        <v>0</v>
      </c>
      <c r="E46" s="574"/>
    </row>
    <row r="47" spans="1:5" x14ac:dyDescent="0.2">
      <c r="A47" s="577" t="str">
        <f>'SCP Rates'!I3</f>
        <v>SCP 7</v>
      </c>
      <c r="B47" s="578" t="str">
        <f t="shared" ref="B47:B105" si="6">CONCATENATE(C47&amp;A47)</f>
        <v>GRADE 0SCP 7</v>
      </c>
      <c r="C47" s="579" t="s">
        <v>141</v>
      </c>
      <c r="D47" s="580">
        <f>Ranks!B11</f>
        <v>37.32</v>
      </c>
    </row>
    <row r="48" spans="1:5" x14ac:dyDescent="0.2">
      <c r="A48" s="577" t="str">
        <f>'SCP Rates'!I4</f>
        <v>SCP 8</v>
      </c>
      <c r="B48" s="578" t="str">
        <f t="shared" si="6"/>
        <v>GRADE 0SCP 8</v>
      </c>
      <c r="C48" s="579" t="s">
        <v>141</v>
      </c>
      <c r="D48" s="580">
        <f>Ranks!B12</f>
        <v>37.56</v>
      </c>
    </row>
    <row r="49" spans="1:4" x14ac:dyDescent="0.2">
      <c r="A49" s="577" t="str">
        <f>'SCP Rates'!I5</f>
        <v>SCP 9</v>
      </c>
      <c r="B49" s="578" t="str">
        <f t="shared" si="6"/>
        <v>GRADE 0SCP 9</v>
      </c>
      <c r="C49" s="579" t="s">
        <v>141</v>
      </c>
      <c r="D49" s="580">
        <f>Ranks!B13</f>
        <v>38.32</v>
      </c>
    </row>
    <row r="50" spans="1:4" x14ac:dyDescent="0.2">
      <c r="A50" s="577" t="str">
        <f>'SCP Rates'!I6</f>
        <v>SCP 10</v>
      </c>
      <c r="B50" s="578" t="str">
        <f t="shared" si="6"/>
        <v>GRADE 0SCP 10</v>
      </c>
      <c r="C50" s="579" t="s">
        <v>141</v>
      </c>
      <c r="D50" s="580">
        <f>Ranks!B14</f>
        <v>39.119999999999997</v>
      </c>
    </row>
    <row r="51" spans="1:4" x14ac:dyDescent="0.2">
      <c r="A51" s="577" t="str">
        <f>'SCP Rates'!I7</f>
        <v>SCP 11</v>
      </c>
      <c r="B51" s="578" t="str">
        <f t="shared" si="6"/>
        <v>GRADE 0SCP 11</v>
      </c>
      <c r="C51" s="579" t="s">
        <v>141</v>
      </c>
      <c r="D51" s="580">
        <f>Ranks!B15</f>
        <v>39.880000000000003</v>
      </c>
    </row>
    <row r="52" spans="1:4" x14ac:dyDescent="0.2">
      <c r="A52" s="577" t="str">
        <f>'SCP Rates'!I8</f>
        <v>SCP 12</v>
      </c>
      <c r="B52" s="578" t="str">
        <f t="shared" si="6"/>
        <v>GRADE 0SCP 12</v>
      </c>
      <c r="C52" s="579" t="s">
        <v>141</v>
      </c>
      <c r="D52" s="580">
        <f>Ranks!B16</f>
        <v>40.68</v>
      </c>
    </row>
    <row r="53" spans="1:4" x14ac:dyDescent="0.2">
      <c r="A53" s="577" t="str">
        <f>'SCP Rates'!I9</f>
        <v>SCP 13</v>
      </c>
      <c r="B53" s="578" t="str">
        <f t="shared" si="6"/>
        <v>GRADE 0SCP 13</v>
      </c>
      <c r="C53" s="579" t="s">
        <v>141</v>
      </c>
      <c r="D53" s="580">
        <f>Ranks!B17</f>
        <v>41.48</v>
      </c>
    </row>
    <row r="54" spans="1:4" x14ac:dyDescent="0.2">
      <c r="A54" s="577" t="str">
        <f>'SCP Rates'!I10</f>
        <v>SCP 14</v>
      </c>
      <c r="B54" s="578" t="str">
        <f t="shared" si="6"/>
        <v>GRADE 0SCP 14</v>
      </c>
      <c r="C54" s="579" t="s">
        <v>141</v>
      </c>
      <c r="D54" s="580">
        <f>Ranks!B18</f>
        <v>42.3</v>
      </c>
    </row>
    <row r="55" spans="1:4" x14ac:dyDescent="0.2">
      <c r="A55" s="577" t="str">
        <f>'SCP Rates'!I11</f>
        <v>SCP 15</v>
      </c>
      <c r="B55" s="578" t="str">
        <f t="shared" si="6"/>
        <v>GRADE 0SCP 15</v>
      </c>
      <c r="C55" s="579" t="s">
        <v>141</v>
      </c>
      <c r="D55" s="580">
        <f>Ranks!B19</f>
        <v>43.68</v>
      </c>
    </row>
    <row r="56" spans="1:4" x14ac:dyDescent="0.2">
      <c r="A56" s="577" t="str">
        <f>'SCP Rates'!I12</f>
        <v>SCP 16</v>
      </c>
      <c r="B56" s="578" t="str">
        <f t="shared" si="6"/>
        <v>GRADE 0SCP 16</v>
      </c>
      <c r="C56" s="579" t="s">
        <v>141</v>
      </c>
      <c r="D56" s="580">
        <f>Ranks!B20</f>
        <v>45.06</v>
      </c>
    </row>
    <row r="57" spans="1:4" x14ac:dyDescent="0.2">
      <c r="A57" s="577" t="str">
        <f>'SCP Rates'!I13</f>
        <v>SCP 17</v>
      </c>
      <c r="B57" s="578" t="str">
        <f t="shared" si="6"/>
        <v>GRADE 0SCP 17</v>
      </c>
      <c r="C57" s="579" t="s">
        <v>141</v>
      </c>
      <c r="D57" s="580">
        <f>Ranks!B21</f>
        <v>46.58</v>
      </c>
    </row>
    <row r="58" spans="1:4" x14ac:dyDescent="0.2">
      <c r="A58" s="577" t="str">
        <f>'SCP Rates'!I14</f>
        <v>SCP 18</v>
      </c>
      <c r="B58" s="578" t="str">
        <f t="shared" si="6"/>
        <v>GRADE 0SCP 18</v>
      </c>
      <c r="C58" s="579" t="s">
        <v>141</v>
      </c>
      <c r="D58" s="580">
        <f>Ranks!B22</f>
        <v>47.34</v>
      </c>
    </row>
    <row r="59" spans="1:4" x14ac:dyDescent="0.2">
      <c r="A59" s="577" t="str">
        <f>'SCP Rates'!I15</f>
        <v>SCP 19</v>
      </c>
      <c r="B59" s="578" t="str">
        <f t="shared" si="6"/>
        <v>GRADE 0SCP 19</v>
      </c>
      <c r="C59" s="579" t="s">
        <v>141</v>
      </c>
      <c r="D59" s="580">
        <f>Ranks!B23</f>
        <v>48.26</v>
      </c>
    </row>
    <row r="60" spans="1:4" x14ac:dyDescent="0.2">
      <c r="A60" s="577" t="str">
        <f>'SCP Rates'!I16</f>
        <v>SCP 20</v>
      </c>
      <c r="B60" s="578" t="str">
        <f t="shared" si="6"/>
        <v>GRADE 0SCP 20</v>
      </c>
      <c r="C60" s="579" t="s">
        <v>141</v>
      </c>
      <c r="D60" s="580">
        <f>Ranks!B24</f>
        <v>49.64</v>
      </c>
    </row>
    <row r="61" spans="1:4" x14ac:dyDescent="0.2">
      <c r="A61" s="577" t="str">
        <f>'SCP Rates'!I17</f>
        <v>SCP 21</v>
      </c>
      <c r="B61" s="578" t="str">
        <f t="shared" si="6"/>
        <v>GRADE 0SCP 21</v>
      </c>
      <c r="C61" s="579" t="s">
        <v>141</v>
      </c>
      <c r="D61" s="580">
        <f>Ranks!B25</f>
        <v>51.02</v>
      </c>
    </row>
    <row r="62" spans="1:4" x14ac:dyDescent="0.2">
      <c r="A62" s="577" t="str">
        <f>'SCP Rates'!I18</f>
        <v>SCP 22</v>
      </c>
      <c r="B62" s="578" t="str">
        <f t="shared" si="6"/>
        <v>GRADE 0SCP 22</v>
      </c>
      <c r="C62" s="579" t="s">
        <v>141</v>
      </c>
      <c r="D62" s="580">
        <f>Ranks!B26</f>
        <v>52.62</v>
      </c>
    </row>
    <row r="63" spans="1:4" x14ac:dyDescent="0.2">
      <c r="A63" s="577" t="str">
        <f>'SCP Rates'!I19</f>
        <v>SCP 23</v>
      </c>
      <c r="B63" s="578" t="str">
        <f t="shared" si="6"/>
        <v>GRADE 0SCP 23</v>
      </c>
      <c r="C63" s="579" t="s">
        <v>141</v>
      </c>
      <c r="D63" s="580">
        <f>Ranks!B27</f>
        <v>54.34</v>
      </c>
    </row>
    <row r="64" spans="1:4" x14ac:dyDescent="0.2">
      <c r="A64" s="577" t="str">
        <f>'SCP Rates'!I20</f>
        <v>SCP 24</v>
      </c>
      <c r="B64" s="578" t="str">
        <f t="shared" si="6"/>
        <v>GRADE 0SCP 24</v>
      </c>
      <c r="C64" s="579" t="s">
        <v>141</v>
      </c>
      <c r="D64" s="580">
        <f>Ranks!B28</f>
        <v>56.14</v>
      </c>
    </row>
    <row r="65" spans="1:4" x14ac:dyDescent="0.2">
      <c r="A65" s="577" t="str">
        <f>'SCP Rates'!I21</f>
        <v>SCP 25</v>
      </c>
      <c r="B65" s="578" t="str">
        <f t="shared" si="6"/>
        <v>GRADE 0SCP 25</v>
      </c>
      <c r="C65" s="579" t="s">
        <v>141</v>
      </c>
      <c r="D65" s="580">
        <f>Ranks!B29</f>
        <v>58.14</v>
      </c>
    </row>
    <row r="66" spans="1:4" x14ac:dyDescent="0.2">
      <c r="A66" s="577" t="str">
        <f>'SCP Rates'!I22</f>
        <v>SCP 26</v>
      </c>
      <c r="B66" s="578" t="str">
        <f t="shared" si="6"/>
        <v>GRADE 0SCP 26</v>
      </c>
      <c r="C66" s="579" t="s">
        <v>141</v>
      </c>
      <c r="D66" s="580">
        <f>Ranks!B30</f>
        <v>60</v>
      </c>
    </row>
    <row r="67" spans="1:4" x14ac:dyDescent="0.2">
      <c r="A67" s="577" t="str">
        <f>'SCP Rates'!I23</f>
        <v>SCP 27</v>
      </c>
      <c r="B67" s="578" t="str">
        <f t="shared" si="6"/>
        <v>GRADE 0SCP 27</v>
      </c>
      <c r="C67" s="579" t="s">
        <v>141</v>
      </c>
      <c r="D67" s="580">
        <f>Ranks!B31</f>
        <v>61.8</v>
      </c>
    </row>
    <row r="68" spans="1:4" x14ac:dyDescent="0.2">
      <c r="A68" s="577" t="str">
        <f>'SCP Rates'!I24</f>
        <v>SCP 28</v>
      </c>
      <c r="B68" s="578" t="str">
        <f t="shared" si="6"/>
        <v>GRADE 0SCP 28</v>
      </c>
      <c r="C68" s="579" t="s">
        <v>141</v>
      </c>
      <c r="D68" s="580">
        <f>Ranks!B32</f>
        <v>63.58</v>
      </c>
    </row>
    <row r="69" spans="1:4" x14ac:dyDescent="0.2">
      <c r="A69" s="577" t="str">
        <f>'SCP Rates'!I25</f>
        <v>SCP 29</v>
      </c>
      <c r="B69" s="578" t="str">
        <f t="shared" si="6"/>
        <v>GRADE 0SCP 29</v>
      </c>
      <c r="C69" s="579" t="s">
        <v>141</v>
      </c>
      <c r="D69" s="580">
        <f>Ranks!B33</f>
        <v>65.36</v>
      </c>
    </row>
    <row r="70" spans="1:4" x14ac:dyDescent="0.2">
      <c r="A70" s="577" t="str">
        <f>'SCP Rates'!I26</f>
        <v>SCP 30</v>
      </c>
      <c r="B70" s="578" t="str">
        <f t="shared" si="6"/>
        <v>GRADE 0SCP 30</v>
      </c>
      <c r="C70" s="579" t="s">
        <v>141</v>
      </c>
      <c r="D70" s="580">
        <f>Ranks!B34</f>
        <v>67.180000000000007</v>
      </c>
    </row>
    <row r="71" spans="1:4" x14ac:dyDescent="0.2">
      <c r="A71" s="577" t="str">
        <f>'SCP Rates'!I27</f>
        <v>SCP 31</v>
      </c>
      <c r="B71" s="578" t="str">
        <f t="shared" si="6"/>
        <v>GRADE 0SCP 31</v>
      </c>
      <c r="C71" s="579" t="s">
        <v>141</v>
      </c>
      <c r="D71" s="580">
        <f>Ranks!B35</f>
        <v>68.88</v>
      </c>
    </row>
    <row r="72" spans="1:4" x14ac:dyDescent="0.2">
      <c r="A72" s="577" t="str">
        <f>'SCP Rates'!I28</f>
        <v>SCP 32</v>
      </c>
      <c r="B72" s="578" t="str">
        <f t="shared" si="6"/>
        <v>GRADE 0SCP 32</v>
      </c>
      <c r="C72" s="579" t="s">
        <v>141</v>
      </c>
      <c r="D72" s="580">
        <f>Ranks!B36</f>
        <v>70.540000000000006</v>
      </c>
    </row>
    <row r="73" spans="1:4" x14ac:dyDescent="0.2">
      <c r="A73" s="577" t="str">
        <f>'SCP Rates'!I29</f>
        <v>SCP 33</v>
      </c>
      <c r="B73" s="578" t="str">
        <f t="shared" si="6"/>
        <v>GRADE 0SCP 33</v>
      </c>
      <c r="C73" s="579" t="s">
        <v>141</v>
      </c>
      <c r="D73" s="580">
        <f>Ranks!B37</f>
        <v>72.28</v>
      </c>
    </row>
    <row r="74" spans="1:4" x14ac:dyDescent="0.2">
      <c r="A74" s="577" t="str">
        <f>'SCP Rates'!I30</f>
        <v>SCP 34</v>
      </c>
      <c r="B74" s="578" t="str">
        <f t="shared" si="6"/>
        <v>GRADE 0SCP 34</v>
      </c>
      <c r="C74" s="579" t="s">
        <v>141</v>
      </c>
      <c r="D74" s="580">
        <f>Ranks!B38</f>
        <v>74.34</v>
      </c>
    </row>
    <row r="75" spans="1:4" x14ac:dyDescent="0.2">
      <c r="A75" s="577" t="str">
        <f>'SCP Rates'!I31</f>
        <v>SCP 35</v>
      </c>
      <c r="B75" s="578" t="str">
        <f t="shared" si="6"/>
        <v>GRADE 0SCP 35</v>
      </c>
      <c r="C75" s="579" t="s">
        <v>141</v>
      </c>
      <c r="D75" s="580">
        <f>Ranks!B39</f>
        <v>76.62</v>
      </c>
    </row>
    <row r="76" spans="1:4" x14ac:dyDescent="0.2">
      <c r="A76" s="577" t="str">
        <f>'SCP Rates'!I32</f>
        <v>SCP 36</v>
      </c>
      <c r="B76" s="578" t="str">
        <f t="shared" si="6"/>
        <v>GRADE 0SCP 36</v>
      </c>
      <c r="C76" s="579" t="s">
        <v>141</v>
      </c>
      <c r="D76" s="580">
        <f>Ranks!B40</f>
        <v>78.64</v>
      </c>
    </row>
    <row r="77" spans="1:4" x14ac:dyDescent="0.2">
      <c r="A77" s="577" t="str">
        <f>'SCP Rates'!I33</f>
        <v>SCP 37</v>
      </c>
      <c r="B77" s="578" t="str">
        <f t="shared" si="6"/>
        <v>GRADE 0SCP 37</v>
      </c>
      <c r="C77" s="579" t="s">
        <v>141</v>
      </c>
      <c r="D77" s="580">
        <f>Ranks!B41</f>
        <v>80.64</v>
      </c>
    </row>
    <row r="78" spans="1:4" x14ac:dyDescent="0.2">
      <c r="A78" s="577" t="str">
        <f>'SCP Rates'!I34</f>
        <v>SCP 38</v>
      </c>
      <c r="B78" s="578" t="str">
        <f t="shared" si="6"/>
        <v>GRADE 0SCP 38</v>
      </c>
      <c r="C78" s="579" t="s">
        <v>141</v>
      </c>
      <c r="D78" s="580">
        <f>Ranks!B42</f>
        <v>82.64</v>
      </c>
    </row>
    <row r="79" spans="1:4" x14ac:dyDescent="0.2">
      <c r="A79" s="577" t="str">
        <f>'SCP Rates'!I35</f>
        <v>SCP 39</v>
      </c>
      <c r="B79" s="578" t="str">
        <f t="shared" si="6"/>
        <v>GRADE 0SCP 39</v>
      </c>
      <c r="C79" s="579" t="s">
        <v>141</v>
      </c>
      <c r="D79" s="580">
        <f>Ranks!B43</f>
        <v>84.68</v>
      </c>
    </row>
    <row r="80" spans="1:4" x14ac:dyDescent="0.2">
      <c r="A80" s="577" t="str">
        <f>'SCP Rates'!I36</f>
        <v>SCP 40</v>
      </c>
      <c r="B80" s="578" t="str">
        <f t="shared" si="6"/>
        <v>GRADE 0SCP 40</v>
      </c>
      <c r="C80" s="579" t="s">
        <v>141</v>
      </c>
      <c r="D80" s="580">
        <f>Ranks!B44</f>
        <v>86.7</v>
      </c>
    </row>
    <row r="81" spans="1:4" x14ac:dyDescent="0.2">
      <c r="A81" s="577" t="str">
        <f>'SCP Rates'!I37</f>
        <v>SCP 41</v>
      </c>
      <c r="B81" s="578" t="str">
        <f t="shared" si="6"/>
        <v>GRADE 0SCP 41</v>
      </c>
      <c r="C81" s="579" t="s">
        <v>141</v>
      </c>
      <c r="D81" s="580">
        <f>Ranks!B45</f>
        <v>88.7</v>
      </c>
    </row>
    <row r="82" spans="1:4" x14ac:dyDescent="0.2">
      <c r="A82" s="577" t="str">
        <f>'SCP Rates'!I38</f>
        <v>SCP 42</v>
      </c>
      <c r="B82" s="578" t="str">
        <f t="shared" si="6"/>
        <v>GRADE 0SCP 42</v>
      </c>
      <c r="C82" s="579" t="s">
        <v>141</v>
      </c>
      <c r="D82" s="580">
        <f>Ranks!B46</f>
        <v>90.7</v>
      </c>
    </row>
    <row r="83" spans="1:4" x14ac:dyDescent="0.2">
      <c r="A83" s="577" t="str">
        <f>'SCP Rates'!I39</f>
        <v>SCP 43</v>
      </c>
      <c r="B83" s="578" t="str">
        <f t="shared" si="6"/>
        <v>GRADE 0SCP 43</v>
      </c>
      <c r="C83" s="579" t="s">
        <v>141</v>
      </c>
      <c r="D83" s="580">
        <f>Ranks!B47</f>
        <v>92.72</v>
      </c>
    </row>
    <row r="84" spans="1:4" x14ac:dyDescent="0.2">
      <c r="A84" s="577" t="str">
        <f>'SCP Rates'!I40</f>
        <v>SCP 44</v>
      </c>
      <c r="B84" s="578" t="str">
        <f t="shared" si="6"/>
        <v>GRADE 0SCP 44</v>
      </c>
      <c r="C84" s="579" t="s">
        <v>141</v>
      </c>
      <c r="D84" s="580">
        <f>Ranks!B48</f>
        <v>94.72</v>
      </c>
    </row>
    <row r="85" spans="1:4" x14ac:dyDescent="0.2">
      <c r="A85" s="581" t="str">
        <f>'SCP Rates'!I41</f>
        <v>SCP 45</v>
      </c>
      <c r="B85" s="582" t="str">
        <f t="shared" si="6"/>
        <v>GRADE 0SCP 45</v>
      </c>
      <c r="C85" s="583" t="s">
        <v>141</v>
      </c>
      <c r="D85" s="584">
        <f>Ranks!B49</f>
        <v>96.72</v>
      </c>
    </row>
    <row r="86" spans="1:4" x14ac:dyDescent="0.2">
      <c r="A86" s="577" t="str">
        <f>Ranks!A11</f>
        <v>SCP 7</v>
      </c>
      <c r="B86" s="578" t="str">
        <f t="shared" si="6"/>
        <v>GRADE 1SCP 7</v>
      </c>
      <c r="C86" s="579" t="s">
        <v>142</v>
      </c>
      <c r="D86" s="580">
        <f>Ranks!C11</f>
        <v>27.99</v>
      </c>
    </row>
    <row r="87" spans="1:4" x14ac:dyDescent="0.2">
      <c r="A87" s="577" t="str">
        <f>Ranks!A12</f>
        <v>SCP 8</v>
      </c>
      <c r="B87" s="578" t="str">
        <f t="shared" si="6"/>
        <v>GRADE 1SCP 8</v>
      </c>
      <c r="C87" s="579" t="s">
        <v>142</v>
      </c>
      <c r="D87" s="580">
        <f>Ranks!C12</f>
        <v>28.17</v>
      </c>
    </row>
    <row r="88" spans="1:4" x14ac:dyDescent="0.2">
      <c r="A88" s="577" t="str">
        <f>Ranks!A13</f>
        <v>SCP 9</v>
      </c>
      <c r="B88" s="578" t="str">
        <f t="shared" si="6"/>
        <v>GRADE 1SCP 9</v>
      </c>
      <c r="C88" s="579" t="s">
        <v>142</v>
      </c>
      <c r="D88" s="580">
        <f>Ranks!C13</f>
        <v>28.74</v>
      </c>
    </row>
    <row r="89" spans="1:4" x14ac:dyDescent="0.2">
      <c r="A89" s="577" t="str">
        <f>Ranks!A14</f>
        <v>SCP 10</v>
      </c>
      <c r="B89" s="578" t="str">
        <f t="shared" si="6"/>
        <v>GRADE 1SCP 10</v>
      </c>
      <c r="C89" s="579" t="s">
        <v>142</v>
      </c>
      <c r="D89" s="580">
        <f>Ranks!C14</f>
        <v>29.34</v>
      </c>
    </row>
    <row r="90" spans="1:4" x14ac:dyDescent="0.2">
      <c r="A90" s="577" t="str">
        <f>Ranks!A15</f>
        <v>SCP 11</v>
      </c>
      <c r="B90" s="578" t="str">
        <f t="shared" si="6"/>
        <v>GRADE 1SCP 11</v>
      </c>
      <c r="C90" s="579" t="s">
        <v>142</v>
      </c>
      <c r="D90" s="580">
        <f>Ranks!C15</f>
        <v>29.91</v>
      </c>
    </row>
    <row r="91" spans="1:4" x14ac:dyDescent="0.2">
      <c r="A91" s="577" t="str">
        <f>Ranks!A16</f>
        <v>SCP 12</v>
      </c>
      <c r="B91" s="578" t="str">
        <f t="shared" si="6"/>
        <v>GRADE 1SCP 12</v>
      </c>
      <c r="C91" s="579" t="s">
        <v>142</v>
      </c>
      <c r="D91" s="580">
        <f>Ranks!C16</f>
        <v>30.51</v>
      </c>
    </row>
    <row r="92" spans="1:4" x14ac:dyDescent="0.2">
      <c r="A92" s="577" t="str">
        <f>Ranks!A17</f>
        <v>SCP 13</v>
      </c>
      <c r="B92" s="578" t="str">
        <f t="shared" si="6"/>
        <v>GRADE 1SCP 13</v>
      </c>
      <c r="C92" s="579" t="s">
        <v>142</v>
      </c>
      <c r="D92" s="580">
        <f>Ranks!C17</f>
        <v>31.11</v>
      </c>
    </row>
    <row r="93" spans="1:4" x14ac:dyDescent="0.2">
      <c r="A93" s="577" t="str">
        <f>Ranks!A18</f>
        <v>SCP 14</v>
      </c>
      <c r="B93" s="578" t="str">
        <f t="shared" si="6"/>
        <v>GRADE 1SCP 14</v>
      </c>
      <c r="C93" s="579" t="s">
        <v>142</v>
      </c>
      <c r="D93" s="580">
        <f>Ranks!C18</f>
        <v>31.73</v>
      </c>
    </row>
    <row r="94" spans="1:4" x14ac:dyDescent="0.2">
      <c r="A94" s="577" t="str">
        <f>Ranks!A19</f>
        <v>SCP 15</v>
      </c>
      <c r="B94" s="578" t="str">
        <f t="shared" si="6"/>
        <v>GRADE 1SCP 15</v>
      </c>
      <c r="C94" s="579" t="s">
        <v>142</v>
      </c>
      <c r="D94" s="580">
        <f>Ranks!C19</f>
        <v>32.76</v>
      </c>
    </row>
    <row r="95" spans="1:4" x14ac:dyDescent="0.2">
      <c r="A95" s="577" t="str">
        <f>Ranks!A20</f>
        <v>SCP 16</v>
      </c>
      <c r="B95" s="578" t="str">
        <f t="shared" si="6"/>
        <v>GRADE 1SCP 16</v>
      </c>
      <c r="C95" s="579" t="s">
        <v>142</v>
      </c>
      <c r="D95" s="580">
        <f>Ranks!C20</f>
        <v>33.799999999999997</v>
      </c>
    </row>
    <row r="96" spans="1:4" x14ac:dyDescent="0.2">
      <c r="A96" s="577" t="str">
        <f>Ranks!A21</f>
        <v>SCP 17</v>
      </c>
      <c r="B96" s="578" t="str">
        <f t="shared" si="6"/>
        <v>GRADE 1SCP 17</v>
      </c>
      <c r="C96" s="579" t="s">
        <v>142</v>
      </c>
      <c r="D96" s="580">
        <f>Ranks!C21</f>
        <v>34.94</v>
      </c>
    </row>
    <row r="97" spans="1:4" x14ac:dyDescent="0.2">
      <c r="A97" s="577" t="str">
        <f>Ranks!A22</f>
        <v>SCP 18</v>
      </c>
      <c r="B97" s="578" t="str">
        <f t="shared" si="6"/>
        <v>GRADE 1SCP 18</v>
      </c>
      <c r="C97" s="579" t="s">
        <v>142</v>
      </c>
      <c r="D97" s="580">
        <f>Ranks!C22</f>
        <v>35.51</v>
      </c>
    </row>
    <row r="98" spans="1:4" x14ac:dyDescent="0.2">
      <c r="A98" s="577" t="str">
        <f>Ranks!A23</f>
        <v>SCP 19</v>
      </c>
      <c r="B98" s="578" t="str">
        <f t="shared" si="6"/>
        <v>GRADE 1SCP 19</v>
      </c>
      <c r="C98" s="579" t="s">
        <v>142</v>
      </c>
      <c r="D98" s="580">
        <f>Ranks!C23</f>
        <v>36.200000000000003</v>
      </c>
    </row>
    <row r="99" spans="1:4" x14ac:dyDescent="0.2">
      <c r="A99" s="577" t="str">
        <f>Ranks!A24</f>
        <v>SCP 20</v>
      </c>
      <c r="B99" s="578" t="str">
        <f t="shared" si="6"/>
        <v>GRADE 1SCP 20</v>
      </c>
      <c r="C99" s="579" t="s">
        <v>142</v>
      </c>
      <c r="D99" s="580">
        <f>Ranks!C24</f>
        <v>37.229999999999997</v>
      </c>
    </row>
    <row r="100" spans="1:4" x14ac:dyDescent="0.2">
      <c r="A100" s="577" t="str">
        <f>Ranks!A25</f>
        <v>SCP 21</v>
      </c>
      <c r="B100" s="578" t="str">
        <f t="shared" si="6"/>
        <v>GRADE 1SCP 21</v>
      </c>
      <c r="C100" s="579" t="s">
        <v>142</v>
      </c>
      <c r="D100" s="580">
        <f>Ranks!C25</f>
        <v>38.270000000000003</v>
      </c>
    </row>
    <row r="101" spans="1:4" x14ac:dyDescent="0.2">
      <c r="A101" s="577" t="str">
        <f>Ranks!A26</f>
        <v>SCP 22</v>
      </c>
      <c r="B101" s="578" t="str">
        <f t="shared" si="6"/>
        <v>GRADE 1SCP 22</v>
      </c>
      <c r="C101" s="579" t="s">
        <v>142</v>
      </c>
      <c r="D101" s="580">
        <f>Ranks!C26</f>
        <v>39.47</v>
      </c>
    </row>
    <row r="102" spans="1:4" x14ac:dyDescent="0.2">
      <c r="A102" s="577" t="str">
        <f>Ranks!A27</f>
        <v>SCP 23</v>
      </c>
      <c r="B102" s="578" t="str">
        <f t="shared" si="6"/>
        <v>GRADE 1SCP 23</v>
      </c>
      <c r="C102" s="579" t="s">
        <v>142</v>
      </c>
      <c r="D102" s="580">
        <f>Ranks!C27</f>
        <v>40.76</v>
      </c>
    </row>
    <row r="103" spans="1:4" x14ac:dyDescent="0.2">
      <c r="A103" s="577" t="str">
        <f>Ranks!A28</f>
        <v>SCP 24</v>
      </c>
      <c r="B103" s="578" t="str">
        <f t="shared" si="6"/>
        <v>GRADE 1SCP 24</v>
      </c>
      <c r="C103" s="579" t="s">
        <v>142</v>
      </c>
      <c r="D103" s="580">
        <f>Ranks!C28</f>
        <v>42.11</v>
      </c>
    </row>
    <row r="104" spans="1:4" x14ac:dyDescent="0.2">
      <c r="A104" s="577" t="str">
        <f>Ranks!A29</f>
        <v>SCP 25</v>
      </c>
      <c r="B104" s="578" t="str">
        <f t="shared" si="6"/>
        <v>GRADE 1SCP 25</v>
      </c>
      <c r="C104" s="579" t="s">
        <v>142</v>
      </c>
      <c r="D104" s="580">
        <f>Ranks!C29</f>
        <v>43.61</v>
      </c>
    </row>
    <row r="105" spans="1:4" x14ac:dyDescent="0.2">
      <c r="A105" s="577" t="str">
        <f>Ranks!A30</f>
        <v>SCP 26</v>
      </c>
      <c r="B105" s="578" t="str">
        <f t="shared" si="6"/>
        <v>GRADE 1SCP 26</v>
      </c>
      <c r="C105" s="579" t="s">
        <v>142</v>
      </c>
      <c r="D105" s="580">
        <f>Ranks!C30</f>
        <v>45</v>
      </c>
    </row>
    <row r="106" spans="1:4" x14ac:dyDescent="0.2">
      <c r="A106" s="577" t="str">
        <f>Ranks!A31</f>
        <v>SCP 27</v>
      </c>
      <c r="B106" s="578" t="str">
        <f t="shared" ref="B106:B124" si="7">CONCATENATE(C106&amp;A106)</f>
        <v>GRADE 1SCP 27</v>
      </c>
      <c r="C106" s="579" t="s">
        <v>142</v>
      </c>
      <c r="D106" s="580">
        <f>Ranks!C31</f>
        <v>46.35</v>
      </c>
    </row>
    <row r="107" spans="1:4" x14ac:dyDescent="0.2">
      <c r="A107" s="577" t="str">
        <f>Ranks!A32</f>
        <v>SCP 28</v>
      </c>
      <c r="B107" s="578" t="str">
        <f t="shared" si="7"/>
        <v>GRADE 1SCP 28</v>
      </c>
      <c r="C107" s="579" t="s">
        <v>142</v>
      </c>
      <c r="D107" s="580">
        <f>Ranks!C32</f>
        <v>47.69</v>
      </c>
    </row>
    <row r="108" spans="1:4" x14ac:dyDescent="0.2">
      <c r="A108" s="577" t="str">
        <f>Ranks!A33</f>
        <v>SCP 29</v>
      </c>
      <c r="B108" s="578" t="str">
        <f t="shared" si="7"/>
        <v>GRADE 1SCP 29</v>
      </c>
      <c r="C108" s="579" t="s">
        <v>142</v>
      </c>
      <c r="D108" s="580">
        <f>Ranks!C33</f>
        <v>49.02</v>
      </c>
    </row>
    <row r="109" spans="1:4" x14ac:dyDescent="0.2">
      <c r="A109" s="577" t="str">
        <f>Ranks!A34</f>
        <v>SCP 30</v>
      </c>
      <c r="B109" s="578" t="str">
        <f t="shared" si="7"/>
        <v>GRADE 1SCP 30</v>
      </c>
      <c r="C109" s="579" t="s">
        <v>142</v>
      </c>
      <c r="D109" s="580">
        <f>Ranks!C34</f>
        <v>50.39</v>
      </c>
    </row>
    <row r="110" spans="1:4" x14ac:dyDescent="0.2">
      <c r="A110" s="577" t="str">
        <f>Ranks!A35</f>
        <v>SCP 31</v>
      </c>
      <c r="B110" s="578" t="str">
        <f t="shared" si="7"/>
        <v>GRADE 1SCP 31</v>
      </c>
      <c r="C110" s="579" t="s">
        <v>142</v>
      </c>
      <c r="D110" s="580">
        <f>Ranks!C35</f>
        <v>51.66</v>
      </c>
    </row>
    <row r="111" spans="1:4" x14ac:dyDescent="0.2">
      <c r="A111" s="577" t="str">
        <f>Ranks!A36</f>
        <v>SCP 32</v>
      </c>
      <c r="B111" s="578" t="str">
        <f t="shared" si="7"/>
        <v>GRADE 1SCP 32</v>
      </c>
      <c r="C111" s="579" t="s">
        <v>142</v>
      </c>
      <c r="D111" s="580">
        <f>Ranks!C36</f>
        <v>52.91</v>
      </c>
    </row>
    <row r="112" spans="1:4" x14ac:dyDescent="0.2">
      <c r="A112" s="577" t="str">
        <f>Ranks!A37</f>
        <v>SCP 33</v>
      </c>
      <c r="B112" s="578" t="str">
        <f t="shared" si="7"/>
        <v>GRADE 1SCP 33</v>
      </c>
      <c r="C112" s="579" t="s">
        <v>142</v>
      </c>
      <c r="D112" s="580">
        <f>Ranks!C37</f>
        <v>54.21</v>
      </c>
    </row>
    <row r="113" spans="1:4" x14ac:dyDescent="0.2">
      <c r="A113" s="577" t="str">
        <f>Ranks!A38</f>
        <v>SCP 34</v>
      </c>
      <c r="B113" s="578" t="str">
        <f t="shared" si="7"/>
        <v>GRADE 1SCP 34</v>
      </c>
      <c r="C113" s="579" t="s">
        <v>142</v>
      </c>
      <c r="D113" s="580">
        <f>Ranks!C38</f>
        <v>55.76</v>
      </c>
    </row>
    <row r="114" spans="1:4" x14ac:dyDescent="0.2">
      <c r="A114" s="577" t="str">
        <f>Ranks!A39</f>
        <v>SCP 35</v>
      </c>
      <c r="B114" s="578" t="str">
        <f t="shared" si="7"/>
        <v>GRADE 1SCP 35</v>
      </c>
      <c r="C114" s="579" t="s">
        <v>142</v>
      </c>
      <c r="D114" s="580">
        <f>Ranks!C39</f>
        <v>57.47</v>
      </c>
    </row>
    <row r="115" spans="1:4" x14ac:dyDescent="0.2">
      <c r="A115" s="577" t="str">
        <f>Ranks!A40</f>
        <v>SCP 36</v>
      </c>
      <c r="B115" s="578" t="str">
        <f t="shared" si="7"/>
        <v>GRADE 1SCP 36</v>
      </c>
      <c r="C115" s="579" t="s">
        <v>142</v>
      </c>
      <c r="D115" s="580">
        <f>Ranks!C40</f>
        <v>58.98</v>
      </c>
    </row>
    <row r="116" spans="1:4" x14ac:dyDescent="0.2">
      <c r="A116" s="577" t="str">
        <f>Ranks!A41</f>
        <v>SCP 37</v>
      </c>
      <c r="B116" s="578" t="str">
        <f t="shared" si="7"/>
        <v>GRADE 1SCP 37</v>
      </c>
      <c r="C116" s="579" t="s">
        <v>142</v>
      </c>
      <c r="D116" s="580">
        <f>Ranks!C41</f>
        <v>60.48</v>
      </c>
    </row>
    <row r="117" spans="1:4" x14ac:dyDescent="0.2">
      <c r="A117" s="577" t="str">
        <f>Ranks!A42</f>
        <v>SCP 38</v>
      </c>
      <c r="B117" s="578" t="str">
        <f t="shared" si="7"/>
        <v>GRADE 1SCP 38</v>
      </c>
      <c r="C117" s="579" t="s">
        <v>142</v>
      </c>
      <c r="D117" s="580">
        <f>Ranks!C42</f>
        <v>61.98</v>
      </c>
    </row>
    <row r="118" spans="1:4" x14ac:dyDescent="0.2">
      <c r="A118" s="577" t="str">
        <f>Ranks!A43</f>
        <v>SCP 39</v>
      </c>
      <c r="B118" s="578" t="str">
        <f t="shared" si="7"/>
        <v>GRADE 1SCP 39</v>
      </c>
      <c r="C118" s="579" t="s">
        <v>142</v>
      </c>
      <c r="D118" s="580">
        <f>Ranks!C43</f>
        <v>63.51</v>
      </c>
    </row>
    <row r="119" spans="1:4" x14ac:dyDescent="0.2">
      <c r="A119" s="577" t="str">
        <f>Ranks!A44</f>
        <v>SCP 40</v>
      </c>
      <c r="B119" s="578" t="str">
        <f t="shared" si="7"/>
        <v>GRADE 1SCP 40</v>
      </c>
      <c r="C119" s="579" t="s">
        <v>142</v>
      </c>
      <c r="D119" s="580">
        <f>Ranks!C44</f>
        <v>65.03</v>
      </c>
    </row>
    <row r="120" spans="1:4" x14ac:dyDescent="0.2">
      <c r="A120" s="577" t="str">
        <f>Ranks!A45</f>
        <v>SCP 41</v>
      </c>
      <c r="B120" s="578" t="str">
        <f t="shared" si="7"/>
        <v>GRADE 1SCP 41</v>
      </c>
      <c r="C120" s="579" t="s">
        <v>142</v>
      </c>
      <c r="D120" s="580">
        <f>Ranks!C45</f>
        <v>66.53</v>
      </c>
    </row>
    <row r="121" spans="1:4" x14ac:dyDescent="0.2">
      <c r="A121" s="577" t="str">
        <f>Ranks!A46</f>
        <v>SCP 42</v>
      </c>
      <c r="B121" s="578" t="str">
        <f t="shared" si="7"/>
        <v>GRADE 1SCP 42</v>
      </c>
      <c r="C121" s="579" t="s">
        <v>142</v>
      </c>
      <c r="D121" s="580">
        <f>Ranks!C46</f>
        <v>68.03</v>
      </c>
    </row>
    <row r="122" spans="1:4" x14ac:dyDescent="0.2">
      <c r="A122" s="577" t="str">
        <f>Ranks!A47</f>
        <v>SCP 43</v>
      </c>
      <c r="B122" s="578" t="str">
        <f t="shared" si="7"/>
        <v>GRADE 1SCP 43</v>
      </c>
      <c r="C122" s="579" t="s">
        <v>142</v>
      </c>
      <c r="D122" s="580">
        <f>Ranks!C47</f>
        <v>69.540000000000006</v>
      </c>
    </row>
    <row r="123" spans="1:4" x14ac:dyDescent="0.2">
      <c r="A123" s="577" t="str">
        <f>Ranks!A48</f>
        <v>SCP 44</v>
      </c>
      <c r="B123" s="578" t="str">
        <f t="shared" si="7"/>
        <v>GRADE 1SCP 44</v>
      </c>
      <c r="C123" s="579" t="s">
        <v>142</v>
      </c>
      <c r="D123" s="580">
        <f>Ranks!C48</f>
        <v>71.040000000000006</v>
      </c>
    </row>
    <row r="124" spans="1:4" x14ac:dyDescent="0.2">
      <c r="A124" s="581" t="str">
        <f>Ranks!A49</f>
        <v>SCP 45</v>
      </c>
      <c r="B124" s="582" t="str">
        <f t="shared" si="7"/>
        <v>GRADE 1SCP 45</v>
      </c>
      <c r="C124" s="583" t="s">
        <v>142</v>
      </c>
      <c r="D124" s="584">
        <f>Ranks!C49</f>
        <v>72.540000000000006</v>
      </c>
    </row>
    <row r="125" spans="1:4" x14ac:dyDescent="0.2">
      <c r="A125" s="577" t="str">
        <f>Ranks!A11</f>
        <v>SCP 7</v>
      </c>
      <c r="B125" s="578" t="str">
        <f t="shared" ref="B125:B222" si="8">CONCATENATE(C125&amp;A125)</f>
        <v>GRADE 2SCP 7</v>
      </c>
      <c r="C125" s="579" t="s">
        <v>143</v>
      </c>
      <c r="D125" s="580">
        <f>Ranks!D11</f>
        <v>27.99</v>
      </c>
    </row>
    <row r="126" spans="1:4" x14ac:dyDescent="0.2">
      <c r="A126" s="577" t="str">
        <f>Ranks!A12</f>
        <v>SCP 8</v>
      </c>
      <c r="B126" s="578" t="str">
        <f t="shared" si="8"/>
        <v>GRADE 2SCP 8</v>
      </c>
      <c r="C126" s="579" t="s">
        <v>143</v>
      </c>
      <c r="D126" s="580">
        <f>Ranks!D12</f>
        <v>28.17</v>
      </c>
    </row>
    <row r="127" spans="1:4" x14ac:dyDescent="0.2">
      <c r="A127" s="577" t="str">
        <f>Ranks!A13</f>
        <v>SCP 9</v>
      </c>
      <c r="B127" s="578" t="str">
        <f t="shared" si="8"/>
        <v>GRADE 2SCP 9</v>
      </c>
      <c r="C127" s="579" t="s">
        <v>143</v>
      </c>
      <c r="D127" s="580">
        <f>Ranks!D13</f>
        <v>28.74</v>
      </c>
    </row>
    <row r="128" spans="1:4" x14ac:dyDescent="0.2">
      <c r="A128" s="577" t="str">
        <f>Ranks!A14</f>
        <v>SCP 10</v>
      </c>
      <c r="B128" s="578" t="str">
        <f t="shared" si="8"/>
        <v>GRADE 2SCP 10</v>
      </c>
      <c r="C128" s="579" t="s">
        <v>143</v>
      </c>
      <c r="D128" s="580">
        <f>Ranks!D14</f>
        <v>29.34</v>
      </c>
    </row>
    <row r="129" spans="1:4" x14ac:dyDescent="0.2">
      <c r="A129" s="577" t="str">
        <f>Ranks!A15</f>
        <v>SCP 11</v>
      </c>
      <c r="B129" s="578" t="str">
        <f t="shared" si="8"/>
        <v>GRADE 2SCP 11</v>
      </c>
      <c r="C129" s="579" t="s">
        <v>143</v>
      </c>
      <c r="D129" s="580">
        <f>Ranks!D15</f>
        <v>29.91</v>
      </c>
    </row>
    <row r="130" spans="1:4" x14ac:dyDescent="0.2">
      <c r="A130" s="577" t="str">
        <f>Ranks!A16</f>
        <v>SCP 12</v>
      </c>
      <c r="B130" s="578" t="str">
        <f t="shared" si="8"/>
        <v>GRADE 2SCP 12</v>
      </c>
      <c r="C130" s="579" t="s">
        <v>143</v>
      </c>
      <c r="D130" s="580">
        <f>Ranks!D16</f>
        <v>30.51</v>
      </c>
    </row>
    <row r="131" spans="1:4" x14ac:dyDescent="0.2">
      <c r="A131" s="577" t="str">
        <f>Ranks!A17</f>
        <v>SCP 13</v>
      </c>
      <c r="B131" s="578" t="str">
        <f t="shared" si="8"/>
        <v>GRADE 2SCP 13</v>
      </c>
      <c r="C131" s="579" t="s">
        <v>143</v>
      </c>
      <c r="D131" s="580">
        <f>Ranks!D17</f>
        <v>31.11</v>
      </c>
    </row>
    <row r="132" spans="1:4" x14ac:dyDescent="0.2">
      <c r="A132" s="577" t="str">
        <f>Ranks!A18</f>
        <v>SCP 14</v>
      </c>
      <c r="B132" s="578" t="str">
        <f t="shared" si="8"/>
        <v>GRADE 2SCP 14</v>
      </c>
      <c r="C132" s="579" t="s">
        <v>143</v>
      </c>
      <c r="D132" s="580">
        <f>Ranks!D18</f>
        <v>31.73</v>
      </c>
    </row>
    <row r="133" spans="1:4" x14ac:dyDescent="0.2">
      <c r="A133" s="577" t="str">
        <f>Ranks!A19</f>
        <v>SCP 15</v>
      </c>
      <c r="B133" s="578" t="str">
        <f t="shared" si="8"/>
        <v>GRADE 2SCP 15</v>
      </c>
      <c r="C133" s="579" t="s">
        <v>143</v>
      </c>
      <c r="D133" s="580">
        <f>Ranks!D19</f>
        <v>32.76</v>
      </c>
    </row>
    <row r="134" spans="1:4" x14ac:dyDescent="0.2">
      <c r="A134" s="577" t="str">
        <f>Ranks!A20</f>
        <v>SCP 16</v>
      </c>
      <c r="B134" s="578" t="str">
        <f t="shared" si="8"/>
        <v>GRADE 2SCP 16</v>
      </c>
      <c r="C134" s="579" t="s">
        <v>143</v>
      </c>
      <c r="D134" s="580">
        <f>Ranks!D20</f>
        <v>33.799999999999997</v>
      </c>
    </row>
    <row r="135" spans="1:4" x14ac:dyDescent="0.2">
      <c r="A135" s="577" t="str">
        <f>Ranks!A21</f>
        <v>SCP 17</v>
      </c>
      <c r="B135" s="578" t="str">
        <f t="shared" si="8"/>
        <v>GRADE 2SCP 17</v>
      </c>
      <c r="C135" s="579" t="s">
        <v>143</v>
      </c>
      <c r="D135" s="580">
        <f>Ranks!D21</f>
        <v>34.94</v>
      </c>
    </row>
    <row r="136" spans="1:4" x14ac:dyDescent="0.2">
      <c r="A136" s="577" t="str">
        <f>Ranks!A22</f>
        <v>SCP 18</v>
      </c>
      <c r="B136" s="578" t="str">
        <f t="shared" si="8"/>
        <v>GRADE 2SCP 18</v>
      </c>
      <c r="C136" s="579" t="s">
        <v>143</v>
      </c>
      <c r="D136" s="580">
        <f>Ranks!D22</f>
        <v>35.51</v>
      </c>
    </row>
    <row r="137" spans="1:4" x14ac:dyDescent="0.2">
      <c r="A137" s="577" t="str">
        <f>Ranks!A23</f>
        <v>SCP 19</v>
      </c>
      <c r="B137" s="578" t="str">
        <f t="shared" si="8"/>
        <v>GRADE 2SCP 19</v>
      </c>
      <c r="C137" s="579" t="s">
        <v>143</v>
      </c>
      <c r="D137" s="580">
        <f>Ranks!D23</f>
        <v>36.200000000000003</v>
      </c>
    </row>
    <row r="138" spans="1:4" x14ac:dyDescent="0.2">
      <c r="A138" s="577" t="str">
        <f>Ranks!A24</f>
        <v>SCP 20</v>
      </c>
      <c r="B138" s="578" t="str">
        <f t="shared" si="8"/>
        <v>GRADE 2SCP 20</v>
      </c>
      <c r="C138" s="579" t="s">
        <v>143</v>
      </c>
      <c r="D138" s="580">
        <f>Ranks!D24</f>
        <v>37.229999999999997</v>
      </c>
    </row>
    <row r="139" spans="1:4" x14ac:dyDescent="0.2">
      <c r="A139" s="577" t="str">
        <f>Ranks!A25</f>
        <v>SCP 21</v>
      </c>
      <c r="B139" s="578" t="str">
        <f t="shared" si="8"/>
        <v>GRADE 2SCP 21</v>
      </c>
      <c r="C139" s="579" t="s">
        <v>143</v>
      </c>
      <c r="D139" s="580">
        <f>Ranks!D25</f>
        <v>38.270000000000003</v>
      </c>
    </row>
    <row r="140" spans="1:4" x14ac:dyDescent="0.2">
      <c r="A140" s="577" t="str">
        <f>Ranks!A26</f>
        <v>SCP 22</v>
      </c>
      <c r="B140" s="578" t="str">
        <f t="shared" si="8"/>
        <v>GRADE 2SCP 22</v>
      </c>
      <c r="C140" s="579" t="s">
        <v>143</v>
      </c>
      <c r="D140" s="580">
        <f>Ranks!D26</f>
        <v>39.47</v>
      </c>
    </row>
    <row r="141" spans="1:4" x14ac:dyDescent="0.2">
      <c r="A141" s="577" t="str">
        <f>Ranks!A27</f>
        <v>SCP 23</v>
      </c>
      <c r="B141" s="578" t="str">
        <f t="shared" si="8"/>
        <v>GRADE 2SCP 23</v>
      </c>
      <c r="C141" s="579" t="s">
        <v>143</v>
      </c>
      <c r="D141" s="580">
        <f>Ranks!D27</f>
        <v>40.76</v>
      </c>
    </row>
    <row r="142" spans="1:4" x14ac:dyDescent="0.2">
      <c r="A142" s="577" t="str">
        <f>Ranks!A28</f>
        <v>SCP 24</v>
      </c>
      <c r="B142" s="578" t="str">
        <f t="shared" si="8"/>
        <v>GRADE 2SCP 24</v>
      </c>
      <c r="C142" s="579" t="s">
        <v>143</v>
      </c>
      <c r="D142" s="580">
        <f>Ranks!D28</f>
        <v>42.11</v>
      </c>
    </row>
    <row r="143" spans="1:4" x14ac:dyDescent="0.2">
      <c r="A143" s="577" t="str">
        <f>Ranks!A29</f>
        <v>SCP 25</v>
      </c>
      <c r="B143" s="578" t="str">
        <f t="shared" si="8"/>
        <v>GRADE 2SCP 25</v>
      </c>
      <c r="C143" s="579" t="s">
        <v>143</v>
      </c>
      <c r="D143" s="580">
        <f>Ranks!D29</f>
        <v>43.61</v>
      </c>
    </row>
    <row r="144" spans="1:4" x14ac:dyDescent="0.2">
      <c r="A144" s="577" t="str">
        <f>Ranks!A30</f>
        <v>SCP 26</v>
      </c>
      <c r="B144" s="578" t="str">
        <f t="shared" si="8"/>
        <v>GRADE 2SCP 26</v>
      </c>
      <c r="C144" s="579" t="s">
        <v>143</v>
      </c>
      <c r="D144" s="580">
        <f>Ranks!D30</f>
        <v>45</v>
      </c>
    </row>
    <row r="145" spans="1:4" x14ac:dyDescent="0.2">
      <c r="A145" s="577" t="str">
        <f>Ranks!A31</f>
        <v>SCP 27</v>
      </c>
      <c r="B145" s="578" t="str">
        <f t="shared" si="8"/>
        <v>GRADE 2SCP 27</v>
      </c>
      <c r="C145" s="579" t="s">
        <v>143</v>
      </c>
      <c r="D145" s="580">
        <f>Ranks!D31</f>
        <v>46.35</v>
      </c>
    </row>
    <row r="146" spans="1:4" x14ac:dyDescent="0.2">
      <c r="A146" s="577" t="str">
        <f>Ranks!A32</f>
        <v>SCP 28</v>
      </c>
      <c r="B146" s="578" t="str">
        <f t="shared" si="8"/>
        <v>GRADE 2SCP 28</v>
      </c>
      <c r="C146" s="579" t="s">
        <v>143</v>
      </c>
      <c r="D146" s="580">
        <f>Ranks!D32</f>
        <v>47.69</v>
      </c>
    </row>
    <row r="147" spans="1:4" x14ac:dyDescent="0.2">
      <c r="A147" s="577" t="str">
        <f>Ranks!A33</f>
        <v>SCP 29</v>
      </c>
      <c r="B147" s="578" t="str">
        <f t="shared" si="8"/>
        <v>GRADE 2SCP 29</v>
      </c>
      <c r="C147" s="579" t="s">
        <v>143</v>
      </c>
      <c r="D147" s="580">
        <f>Ranks!D33</f>
        <v>49.02</v>
      </c>
    </row>
    <row r="148" spans="1:4" x14ac:dyDescent="0.2">
      <c r="A148" s="577" t="str">
        <f>Ranks!A34</f>
        <v>SCP 30</v>
      </c>
      <c r="B148" s="578" t="str">
        <f t="shared" si="8"/>
        <v>GRADE 2SCP 30</v>
      </c>
      <c r="C148" s="579" t="s">
        <v>143</v>
      </c>
      <c r="D148" s="580">
        <f>Ranks!D34</f>
        <v>50.39</v>
      </c>
    </row>
    <row r="149" spans="1:4" x14ac:dyDescent="0.2">
      <c r="A149" s="577" t="str">
        <f>Ranks!A35</f>
        <v>SCP 31</v>
      </c>
      <c r="B149" s="578" t="str">
        <f t="shared" si="8"/>
        <v>GRADE 2SCP 31</v>
      </c>
      <c r="C149" s="579" t="s">
        <v>143</v>
      </c>
      <c r="D149" s="580">
        <f>Ranks!D35</f>
        <v>51.66</v>
      </c>
    </row>
    <row r="150" spans="1:4" x14ac:dyDescent="0.2">
      <c r="A150" s="577" t="str">
        <f>Ranks!A36</f>
        <v>SCP 32</v>
      </c>
      <c r="B150" s="578" t="str">
        <f t="shared" si="8"/>
        <v>GRADE 2SCP 32</v>
      </c>
      <c r="C150" s="579" t="s">
        <v>143</v>
      </c>
      <c r="D150" s="580">
        <f>Ranks!D36</f>
        <v>52.91</v>
      </c>
    </row>
    <row r="151" spans="1:4" x14ac:dyDescent="0.2">
      <c r="A151" s="577" t="str">
        <f>Ranks!A37</f>
        <v>SCP 33</v>
      </c>
      <c r="B151" s="578" t="str">
        <f t="shared" si="8"/>
        <v>GRADE 2SCP 33</v>
      </c>
      <c r="C151" s="579" t="s">
        <v>143</v>
      </c>
      <c r="D151" s="580">
        <f>Ranks!D37</f>
        <v>54.21</v>
      </c>
    </row>
    <row r="152" spans="1:4" x14ac:dyDescent="0.2">
      <c r="A152" s="577" t="str">
        <f>Ranks!A38</f>
        <v>SCP 34</v>
      </c>
      <c r="B152" s="578" t="str">
        <f t="shared" si="8"/>
        <v>GRADE 2SCP 34</v>
      </c>
      <c r="C152" s="579" t="s">
        <v>143</v>
      </c>
      <c r="D152" s="580">
        <f>Ranks!D38</f>
        <v>55.76</v>
      </c>
    </row>
    <row r="153" spans="1:4" x14ac:dyDescent="0.2">
      <c r="A153" s="577" t="str">
        <f>Ranks!A39</f>
        <v>SCP 35</v>
      </c>
      <c r="B153" s="578" t="str">
        <f t="shared" si="8"/>
        <v>GRADE 2SCP 35</v>
      </c>
      <c r="C153" s="579" t="s">
        <v>143</v>
      </c>
      <c r="D153" s="580">
        <f>Ranks!D39</f>
        <v>57.47</v>
      </c>
    </row>
    <row r="154" spans="1:4" x14ac:dyDescent="0.2">
      <c r="A154" s="577" t="str">
        <f>Ranks!A40</f>
        <v>SCP 36</v>
      </c>
      <c r="B154" s="578" t="str">
        <f t="shared" si="8"/>
        <v>GRADE 2SCP 36</v>
      </c>
      <c r="C154" s="579" t="s">
        <v>143</v>
      </c>
      <c r="D154" s="580">
        <f>Ranks!D40</f>
        <v>58.98</v>
      </c>
    </row>
    <row r="155" spans="1:4" x14ac:dyDescent="0.2">
      <c r="A155" s="577" t="str">
        <f>Ranks!A41</f>
        <v>SCP 37</v>
      </c>
      <c r="B155" s="578" t="str">
        <f t="shared" si="8"/>
        <v>GRADE 2SCP 37</v>
      </c>
      <c r="C155" s="579" t="s">
        <v>143</v>
      </c>
      <c r="D155" s="580">
        <f>Ranks!D41</f>
        <v>60.48</v>
      </c>
    </row>
    <row r="156" spans="1:4" x14ac:dyDescent="0.2">
      <c r="A156" s="577" t="str">
        <f>Ranks!A42</f>
        <v>SCP 38</v>
      </c>
      <c r="B156" s="578" t="str">
        <f t="shared" si="8"/>
        <v>GRADE 2SCP 38</v>
      </c>
      <c r="C156" s="579" t="s">
        <v>143</v>
      </c>
      <c r="D156" s="580">
        <f>Ranks!D42</f>
        <v>61.98</v>
      </c>
    </row>
    <row r="157" spans="1:4" x14ac:dyDescent="0.2">
      <c r="A157" s="577" t="str">
        <f>Ranks!A43</f>
        <v>SCP 39</v>
      </c>
      <c r="B157" s="578" t="str">
        <f t="shared" si="8"/>
        <v>GRADE 2SCP 39</v>
      </c>
      <c r="C157" s="579" t="s">
        <v>143</v>
      </c>
      <c r="D157" s="580">
        <f>Ranks!D43</f>
        <v>63.51</v>
      </c>
    </row>
    <row r="158" spans="1:4" x14ac:dyDescent="0.2">
      <c r="A158" s="577" t="str">
        <f>Ranks!A44</f>
        <v>SCP 40</v>
      </c>
      <c r="B158" s="578" t="str">
        <f t="shared" si="8"/>
        <v>GRADE 2SCP 40</v>
      </c>
      <c r="C158" s="579" t="s">
        <v>143</v>
      </c>
      <c r="D158" s="580">
        <f>Ranks!D44</f>
        <v>65.03</v>
      </c>
    </row>
    <row r="159" spans="1:4" x14ac:dyDescent="0.2">
      <c r="A159" s="577" t="str">
        <f>Ranks!A45</f>
        <v>SCP 41</v>
      </c>
      <c r="B159" s="578" t="str">
        <f t="shared" si="8"/>
        <v>GRADE 2SCP 41</v>
      </c>
      <c r="C159" s="579" t="s">
        <v>143</v>
      </c>
      <c r="D159" s="580">
        <f>Ranks!D45</f>
        <v>66.53</v>
      </c>
    </row>
    <row r="160" spans="1:4" x14ac:dyDescent="0.2">
      <c r="A160" s="577" t="str">
        <f>Ranks!A46</f>
        <v>SCP 42</v>
      </c>
      <c r="B160" s="578" t="str">
        <f t="shared" si="8"/>
        <v>GRADE 2SCP 42</v>
      </c>
      <c r="C160" s="579" t="s">
        <v>143</v>
      </c>
      <c r="D160" s="580">
        <f>Ranks!D46</f>
        <v>68.03</v>
      </c>
    </row>
    <row r="161" spans="1:4" x14ac:dyDescent="0.2">
      <c r="A161" s="577" t="str">
        <f>Ranks!A47</f>
        <v>SCP 43</v>
      </c>
      <c r="B161" s="578" t="str">
        <f t="shared" si="8"/>
        <v>GRADE 2SCP 43</v>
      </c>
      <c r="C161" s="579" t="s">
        <v>143</v>
      </c>
      <c r="D161" s="580">
        <f>Ranks!D47</f>
        <v>69.540000000000006</v>
      </c>
    </row>
    <row r="162" spans="1:4" x14ac:dyDescent="0.2">
      <c r="A162" s="577" t="str">
        <f>Ranks!A48</f>
        <v>SCP 44</v>
      </c>
      <c r="B162" s="578" t="str">
        <f t="shared" si="8"/>
        <v>GRADE 2SCP 44</v>
      </c>
      <c r="C162" s="579" t="s">
        <v>143</v>
      </c>
      <c r="D162" s="580">
        <f>Ranks!D48</f>
        <v>71.040000000000006</v>
      </c>
    </row>
    <row r="163" spans="1:4" x14ac:dyDescent="0.2">
      <c r="A163" s="581" t="str">
        <f>Ranks!A49</f>
        <v>SCP 45</v>
      </c>
      <c r="B163" s="582" t="str">
        <f t="shared" si="8"/>
        <v>GRADE 2SCP 45</v>
      </c>
      <c r="C163" s="583" t="s">
        <v>143</v>
      </c>
      <c r="D163" s="584">
        <f>Ranks!D49</f>
        <v>72.540000000000006</v>
      </c>
    </row>
    <row r="164" spans="1:4" x14ac:dyDescent="0.2">
      <c r="A164" s="578" t="str">
        <f>Ranks!A11</f>
        <v>SCP 7</v>
      </c>
      <c r="B164" s="578" t="str">
        <f t="shared" si="8"/>
        <v>GRADE 3SCP 7</v>
      </c>
      <c r="C164" s="579" t="s">
        <v>407</v>
      </c>
      <c r="D164" s="580">
        <f>Ranks!E11</f>
        <v>27.99</v>
      </c>
    </row>
    <row r="165" spans="1:4" x14ac:dyDescent="0.2">
      <c r="A165" s="578" t="str">
        <f>Ranks!A12</f>
        <v>SCP 8</v>
      </c>
      <c r="B165" s="578" t="str">
        <f t="shared" si="8"/>
        <v>GRADE 3SCP 8</v>
      </c>
      <c r="C165" s="579" t="s">
        <v>407</v>
      </c>
      <c r="D165" s="580">
        <f>Ranks!E12</f>
        <v>28.17</v>
      </c>
    </row>
    <row r="166" spans="1:4" x14ac:dyDescent="0.2">
      <c r="A166" s="578" t="str">
        <f>Ranks!A13</f>
        <v>SCP 9</v>
      </c>
      <c r="B166" s="578" t="str">
        <f t="shared" si="8"/>
        <v>GRADE 3SCP 9</v>
      </c>
      <c r="C166" s="579" t="s">
        <v>407</v>
      </c>
      <c r="D166" s="580">
        <f>Ranks!E13</f>
        <v>28.74</v>
      </c>
    </row>
    <row r="167" spans="1:4" x14ac:dyDescent="0.2">
      <c r="A167" s="578" t="str">
        <f>Ranks!A14</f>
        <v>SCP 10</v>
      </c>
      <c r="B167" s="578" t="str">
        <f t="shared" si="8"/>
        <v>GRADE 3SCP 10</v>
      </c>
      <c r="C167" s="579" t="s">
        <v>407</v>
      </c>
      <c r="D167" s="580">
        <f>Ranks!E14</f>
        <v>29.34</v>
      </c>
    </row>
    <row r="168" spans="1:4" x14ac:dyDescent="0.2">
      <c r="A168" s="578" t="str">
        <f>Ranks!A15</f>
        <v>SCP 11</v>
      </c>
      <c r="B168" s="578" t="str">
        <f t="shared" si="8"/>
        <v>GRADE 3SCP 11</v>
      </c>
      <c r="C168" s="579" t="s">
        <v>407</v>
      </c>
      <c r="D168" s="580">
        <f>Ranks!E15</f>
        <v>29.91</v>
      </c>
    </row>
    <row r="169" spans="1:4" x14ac:dyDescent="0.2">
      <c r="A169" s="578" t="str">
        <f>Ranks!A16</f>
        <v>SCP 12</v>
      </c>
      <c r="B169" s="578" t="str">
        <f t="shared" si="8"/>
        <v>GRADE 3SCP 12</v>
      </c>
      <c r="C169" s="579" t="s">
        <v>407</v>
      </c>
      <c r="D169" s="580">
        <f>Ranks!E16</f>
        <v>30.51</v>
      </c>
    </row>
    <row r="170" spans="1:4" x14ac:dyDescent="0.2">
      <c r="A170" s="578" t="str">
        <f>Ranks!A17</f>
        <v>SCP 13</v>
      </c>
      <c r="B170" s="578" t="str">
        <f t="shared" si="8"/>
        <v>GRADE 3SCP 13</v>
      </c>
      <c r="C170" s="579" t="s">
        <v>407</v>
      </c>
      <c r="D170" s="580">
        <f>Ranks!E17</f>
        <v>31.11</v>
      </c>
    </row>
    <row r="171" spans="1:4" x14ac:dyDescent="0.2">
      <c r="A171" s="578" t="str">
        <f>Ranks!A18</f>
        <v>SCP 14</v>
      </c>
      <c r="B171" s="578" t="str">
        <f t="shared" si="8"/>
        <v>GRADE 3SCP 14</v>
      </c>
      <c r="C171" s="579" t="s">
        <v>407</v>
      </c>
      <c r="D171" s="580">
        <f>Ranks!E18</f>
        <v>31.73</v>
      </c>
    </row>
    <row r="172" spans="1:4" x14ac:dyDescent="0.2">
      <c r="A172" s="578" t="str">
        <f>Ranks!A19</f>
        <v>SCP 15</v>
      </c>
      <c r="B172" s="578" t="str">
        <f t="shared" si="8"/>
        <v>GRADE 3SCP 15</v>
      </c>
      <c r="C172" s="579" t="s">
        <v>407</v>
      </c>
      <c r="D172" s="580">
        <f>Ranks!E19</f>
        <v>32.76</v>
      </c>
    </row>
    <row r="173" spans="1:4" x14ac:dyDescent="0.2">
      <c r="A173" s="578" t="str">
        <f>Ranks!A20</f>
        <v>SCP 16</v>
      </c>
      <c r="B173" s="578" t="str">
        <f t="shared" si="8"/>
        <v>GRADE 3SCP 16</v>
      </c>
      <c r="C173" s="579" t="s">
        <v>407</v>
      </c>
      <c r="D173" s="580">
        <f>Ranks!E20</f>
        <v>33.799999999999997</v>
      </c>
    </row>
    <row r="174" spans="1:4" x14ac:dyDescent="0.2">
      <c r="A174" s="578" t="str">
        <f>Ranks!A21</f>
        <v>SCP 17</v>
      </c>
      <c r="B174" s="578" t="str">
        <f t="shared" si="8"/>
        <v>GRADE 3SCP 17</v>
      </c>
      <c r="C174" s="579" t="s">
        <v>407</v>
      </c>
      <c r="D174" s="580">
        <f>Ranks!E21</f>
        <v>34.94</v>
      </c>
    </row>
    <row r="175" spans="1:4" x14ac:dyDescent="0.2">
      <c r="A175" s="578" t="str">
        <f>Ranks!A22</f>
        <v>SCP 18</v>
      </c>
      <c r="B175" s="578" t="str">
        <f t="shared" si="8"/>
        <v>GRADE 3SCP 18</v>
      </c>
      <c r="C175" s="579" t="s">
        <v>407</v>
      </c>
      <c r="D175" s="580">
        <f>Ranks!E22</f>
        <v>35.51</v>
      </c>
    </row>
    <row r="176" spans="1:4" x14ac:dyDescent="0.2">
      <c r="A176" s="578" t="str">
        <f>Ranks!A23</f>
        <v>SCP 19</v>
      </c>
      <c r="B176" s="578" t="str">
        <f t="shared" si="8"/>
        <v>GRADE 3SCP 19</v>
      </c>
      <c r="C176" s="579" t="s">
        <v>407</v>
      </c>
      <c r="D176" s="580">
        <f>Ranks!E23</f>
        <v>36.200000000000003</v>
      </c>
    </row>
    <row r="177" spans="1:4" x14ac:dyDescent="0.2">
      <c r="A177" s="578" t="str">
        <f>Ranks!A24</f>
        <v>SCP 20</v>
      </c>
      <c r="B177" s="578" t="str">
        <f t="shared" si="8"/>
        <v>GRADE 3SCP 20</v>
      </c>
      <c r="C177" s="579" t="s">
        <v>407</v>
      </c>
      <c r="D177" s="580">
        <f>Ranks!E24</f>
        <v>37.229999999999997</v>
      </c>
    </row>
    <row r="178" spans="1:4" x14ac:dyDescent="0.2">
      <c r="A178" s="578" t="str">
        <f>Ranks!A25</f>
        <v>SCP 21</v>
      </c>
      <c r="B178" s="578" t="str">
        <f t="shared" si="8"/>
        <v>GRADE 3SCP 21</v>
      </c>
      <c r="C178" s="579" t="s">
        <v>407</v>
      </c>
      <c r="D178" s="580">
        <f>Ranks!E25</f>
        <v>38.270000000000003</v>
      </c>
    </row>
    <row r="179" spans="1:4" x14ac:dyDescent="0.2">
      <c r="A179" s="578" t="str">
        <f>Ranks!A26</f>
        <v>SCP 22</v>
      </c>
      <c r="B179" s="578" t="str">
        <f t="shared" si="8"/>
        <v>GRADE 3SCP 22</v>
      </c>
      <c r="C179" s="579" t="s">
        <v>407</v>
      </c>
      <c r="D179" s="580">
        <f>Ranks!E26</f>
        <v>39.47</v>
      </c>
    </row>
    <row r="180" spans="1:4" x14ac:dyDescent="0.2">
      <c r="A180" s="578" t="str">
        <f>Ranks!A27</f>
        <v>SCP 23</v>
      </c>
      <c r="B180" s="578" t="str">
        <f t="shared" si="8"/>
        <v>GRADE 3SCP 23</v>
      </c>
      <c r="C180" s="579" t="s">
        <v>407</v>
      </c>
      <c r="D180" s="580">
        <f>Ranks!E27</f>
        <v>40.76</v>
      </c>
    </row>
    <row r="181" spans="1:4" x14ac:dyDescent="0.2">
      <c r="A181" s="578" t="str">
        <f>Ranks!A28</f>
        <v>SCP 24</v>
      </c>
      <c r="B181" s="578" t="str">
        <f t="shared" si="8"/>
        <v>GRADE 3SCP 24</v>
      </c>
      <c r="C181" s="579" t="s">
        <v>407</v>
      </c>
      <c r="D181" s="580">
        <f>Ranks!E28</f>
        <v>42.11</v>
      </c>
    </row>
    <row r="182" spans="1:4" x14ac:dyDescent="0.2">
      <c r="A182" s="578" t="str">
        <f>Ranks!A29</f>
        <v>SCP 25</v>
      </c>
      <c r="B182" s="578" t="str">
        <f t="shared" si="8"/>
        <v>GRADE 3SCP 25</v>
      </c>
      <c r="C182" s="579" t="s">
        <v>407</v>
      </c>
      <c r="D182" s="580">
        <f>Ranks!E29</f>
        <v>43.61</v>
      </c>
    </row>
    <row r="183" spans="1:4" x14ac:dyDescent="0.2">
      <c r="A183" s="578" t="str">
        <f>Ranks!A30</f>
        <v>SCP 26</v>
      </c>
      <c r="B183" s="578" t="str">
        <f t="shared" si="8"/>
        <v>GRADE 3SCP 26</v>
      </c>
      <c r="C183" s="579" t="s">
        <v>407</v>
      </c>
      <c r="D183" s="580">
        <f>Ranks!E30</f>
        <v>45</v>
      </c>
    </row>
    <row r="184" spans="1:4" x14ac:dyDescent="0.2">
      <c r="A184" s="578" t="str">
        <f>Ranks!A31</f>
        <v>SCP 27</v>
      </c>
      <c r="B184" s="578" t="str">
        <f t="shared" si="8"/>
        <v>GRADE 3SCP 27</v>
      </c>
      <c r="C184" s="579" t="s">
        <v>407</v>
      </c>
      <c r="D184" s="580">
        <f>Ranks!E31</f>
        <v>46.35</v>
      </c>
    </row>
    <row r="185" spans="1:4" x14ac:dyDescent="0.2">
      <c r="A185" s="578" t="str">
        <f>Ranks!A32</f>
        <v>SCP 28</v>
      </c>
      <c r="B185" s="578" t="str">
        <f t="shared" si="8"/>
        <v>GRADE 3SCP 28</v>
      </c>
      <c r="C185" s="579" t="s">
        <v>407</v>
      </c>
      <c r="D185" s="580">
        <f>Ranks!E32</f>
        <v>47.69</v>
      </c>
    </row>
    <row r="186" spans="1:4" x14ac:dyDescent="0.2">
      <c r="A186" s="578" t="str">
        <f>Ranks!A33</f>
        <v>SCP 29</v>
      </c>
      <c r="B186" s="578" t="str">
        <f t="shared" si="8"/>
        <v>GRADE 3SCP 29</v>
      </c>
      <c r="C186" s="579" t="s">
        <v>407</v>
      </c>
      <c r="D186" s="580">
        <f>Ranks!E33</f>
        <v>49.02</v>
      </c>
    </row>
    <row r="187" spans="1:4" x14ac:dyDescent="0.2">
      <c r="A187" s="578" t="str">
        <f>Ranks!A34</f>
        <v>SCP 30</v>
      </c>
      <c r="B187" s="578" t="str">
        <f t="shared" si="8"/>
        <v>GRADE 3SCP 30</v>
      </c>
      <c r="C187" s="579" t="s">
        <v>407</v>
      </c>
      <c r="D187" s="580">
        <f>Ranks!E34</f>
        <v>50.39</v>
      </c>
    </row>
    <row r="188" spans="1:4" x14ac:dyDescent="0.2">
      <c r="A188" s="578" t="str">
        <f>Ranks!A35</f>
        <v>SCP 31</v>
      </c>
      <c r="B188" s="578" t="str">
        <f t="shared" si="8"/>
        <v>GRADE 3SCP 31</v>
      </c>
      <c r="C188" s="579" t="s">
        <v>407</v>
      </c>
      <c r="D188" s="580">
        <f>Ranks!E35</f>
        <v>51.66</v>
      </c>
    </row>
    <row r="189" spans="1:4" x14ac:dyDescent="0.2">
      <c r="A189" s="578" t="str">
        <f>Ranks!A36</f>
        <v>SCP 32</v>
      </c>
      <c r="B189" s="578" t="str">
        <f t="shared" si="8"/>
        <v>GRADE 3SCP 32</v>
      </c>
      <c r="C189" s="579" t="s">
        <v>407</v>
      </c>
      <c r="D189" s="580">
        <f>Ranks!E36</f>
        <v>52.91</v>
      </c>
    </row>
    <row r="190" spans="1:4" x14ac:dyDescent="0.2">
      <c r="A190" s="578" t="str">
        <f>Ranks!A37</f>
        <v>SCP 33</v>
      </c>
      <c r="B190" s="578" t="str">
        <f t="shared" si="8"/>
        <v>GRADE 3SCP 33</v>
      </c>
      <c r="C190" s="579" t="s">
        <v>407</v>
      </c>
      <c r="D190" s="580">
        <f>Ranks!E37</f>
        <v>54.21</v>
      </c>
    </row>
    <row r="191" spans="1:4" x14ac:dyDescent="0.2">
      <c r="A191" s="578" t="str">
        <f>Ranks!A38</f>
        <v>SCP 34</v>
      </c>
      <c r="B191" s="578" t="str">
        <f t="shared" si="8"/>
        <v>GRADE 3SCP 34</v>
      </c>
      <c r="C191" s="579" t="s">
        <v>407</v>
      </c>
      <c r="D191" s="580">
        <f>Ranks!E38</f>
        <v>55.76</v>
      </c>
    </row>
    <row r="192" spans="1:4" x14ac:dyDescent="0.2">
      <c r="A192" s="578" t="str">
        <f>Ranks!A39</f>
        <v>SCP 35</v>
      </c>
      <c r="B192" s="578" t="str">
        <f t="shared" si="8"/>
        <v>GRADE 3SCP 35</v>
      </c>
      <c r="C192" s="579" t="s">
        <v>407</v>
      </c>
      <c r="D192" s="580">
        <f>Ranks!E39</f>
        <v>57.47</v>
      </c>
    </row>
    <row r="193" spans="1:4" x14ac:dyDescent="0.2">
      <c r="A193" s="578" t="str">
        <f>Ranks!A40</f>
        <v>SCP 36</v>
      </c>
      <c r="B193" s="578" t="str">
        <f t="shared" si="8"/>
        <v>GRADE 3SCP 36</v>
      </c>
      <c r="C193" s="579" t="s">
        <v>407</v>
      </c>
      <c r="D193" s="580">
        <f>Ranks!E40</f>
        <v>58.98</v>
      </c>
    </row>
    <row r="194" spans="1:4" x14ac:dyDescent="0.2">
      <c r="A194" s="578" t="str">
        <f>Ranks!A41</f>
        <v>SCP 37</v>
      </c>
      <c r="B194" s="578" t="str">
        <f t="shared" si="8"/>
        <v>GRADE 3SCP 37</v>
      </c>
      <c r="C194" s="579" t="s">
        <v>407</v>
      </c>
      <c r="D194" s="580">
        <f>Ranks!E41</f>
        <v>60.48</v>
      </c>
    </row>
    <row r="195" spans="1:4" x14ac:dyDescent="0.2">
      <c r="A195" s="578" t="str">
        <f>Ranks!A42</f>
        <v>SCP 38</v>
      </c>
      <c r="B195" s="578" t="str">
        <f t="shared" si="8"/>
        <v>GRADE 3SCP 38</v>
      </c>
      <c r="C195" s="579" t="s">
        <v>407</v>
      </c>
      <c r="D195" s="580">
        <f>Ranks!E42</f>
        <v>61.98</v>
      </c>
    </row>
    <row r="196" spans="1:4" x14ac:dyDescent="0.2">
      <c r="A196" s="578" t="str">
        <f>Ranks!A43</f>
        <v>SCP 39</v>
      </c>
      <c r="B196" s="578" t="str">
        <f t="shared" si="8"/>
        <v>GRADE 3SCP 39</v>
      </c>
      <c r="C196" s="579" t="s">
        <v>407</v>
      </c>
      <c r="D196" s="580">
        <f>Ranks!E43</f>
        <v>63.51</v>
      </c>
    </row>
    <row r="197" spans="1:4" x14ac:dyDescent="0.2">
      <c r="A197" s="578" t="str">
        <f>Ranks!A44</f>
        <v>SCP 40</v>
      </c>
      <c r="B197" s="578" t="str">
        <f t="shared" si="8"/>
        <v>GRADE 3SCP 40</v>
      </c>
      <c r="C197" s="579" t="s">
        <v>407</v>
      </c>
      <c r="D197" s="580">
        <f>Ranks!E44</f>
        <v>65.03</v>
      </c>
    </row>
    <row r="198" spans="1:4" x14ac:dyDescent="0.2">
      <c r="A198" s="578" t="str">
        <f>Ranks!A45</f>
        <v>SCP 41</v>
      </c>
      <c r="B198" s="578" t="str">
        <f t="shared" si="8"/>
        <v>GRADE 3SCP 41</v>
      </c>
      <c r="C198" s="579" t="s">
        <v>407</v>
      </c>
      <c r="D198" s="580">
        <f>Ranks!E45</f>
        <v>66.53</v>
      </c>
    </row>
    <row r="199" spans="1:4" x14ac:dyDescent="0.2">
      <c r="A199" s="578" t="str">
        <f>Ranks!A46</f>
        <v>SCP 42</v>
      </c>
      <c r="B199" s="578" t="str">
        <f t="shared" si="8"/>
        <v>GRADE 3SCP 42</v>
      </c>
      <c r="C199" s="579" t="s">
        <v>407</v>
      </c>
      <c r="D199" s="580">
        <f>Ranks!E46</f>
        <v>68.03</v>
      </c>
    </row>
    <row r="200" spans="1:4" x14ac:dyDescent="0.2">
      <c r="A200" s="578" t="str">
        <f>Ranks!A47</f>
        <v>SCP 43</v>
      </c>
      <c r="B200" s="578" t="str">
        <f t="shared" si="8"/>
        <v>GRADE 3SCP 43</v>
      </c>
      <c r="C200" s="579" t="s">
        <v>407</v>
      </c>
      <c r="D200" s="580">
        <f>Ranks!E47</f>
        <v>69.540000000000006</v>
      </c>
    </row>
    <row r="201" spans="1:4" x14ac:dyDescent="0.2">
      <c r="A201" s="578" t="str">
        <f>Ranks!A48</f>
        <v>SCP 44</v>
      </c>
      <c r="B201" s="578" t="str">
        <f t="shared" si="8"/>
        <v>GRADE 3SCP 44</v>
      </c>
      <c r="C201" s="579" t="s">
        <v>407</v>
      </c>
      <c r="D201" s="580">
        <f>Ranks!E48</f>
        <v>71.040000000000006</v>
      </c>
    </row>
    <row r="202" spans="1:4" x14ac:dyDescent="0.2">
      <c r="A202" s="578" t="str">
        <f>Ranks!A49</f>
        <v>SCP 45</v>
      </c>
      <c r="B202" s="578" t="str">
        <f t="shared" si="8"/>
        <v>GRADE 3SCP 45</v>
      </c>
      <c r="C202" s="579" t="s">
        <v>407</v>
      </c>
      <c r="D202" s="584">
        <f>Ranks!E49</f>
        <v>72.540000000000006</v>
      </c>
    </row>
    <row r="203" spans="1:4" x14ac:dyDescent="0.2">
      <c r="A203" s="577" t="str">
        <f>Ranks!A11</f>
        <v>SCP 7</v>
      </c>
      <c r="B203" s="578" t="str">
        <f t="shared" si="8"/>
        <v>ATTACHMENTSCP 7</v>
      </c>
      <c r="C203" s="579" t="s">
        <v>162</v>
      </c>
      <c r="D203" s="580">
        <f>Ranks!F11</f>
        <v>0</v>
      </c>
    </row>
    <row r="204" spans="1:4" x14ac:dyDescent="0.2">
      <c r="A204" s="577" t="str">
        <f>Ranks!A12</f>
        <v>SCP 8</v>
      </c>
      <c r="B204" s="578" t="str">
        <f t="shared" si="8"/>
        <v>ATTACHMENTSCP 8</v>
      </c>
      <c r="C204" s="579" t="s">
        <v>162</v>
      </c>
      <c r="D204" s="580">
        <f>Ranks!F12</f>
        <v>0</v>
      </c>
    </row>
    <row r="205" spans="1:4" x14ac:dyDescent="0.2">
      <c r="A205" s="577" t="str">
        <f>Ranks!A13</f>
        <v>SCP 9</v>
      </c>
      <c r="B205" s="578" t="str">
        <f t="shared" si="8"/>
        <v>ATTACHMENTSCP 9</v>
      </c>
      <c r="C205" s="579" t="s">
        <v>162</v>
      </c>
      <c r="D205" s="580">
        <f>Ranks!F13</f>
        <v>0</v>
      </c>
    </row>
    <row r="206" spans="1:4" x14ac:dyDescent="0.2">
      <c r="A206" s="577" t="str">
        <f>Ranks!A14</f>
        <v>SCP 10</v>
      </c>
      <c r="B206" s="578" t="str">
        <f t="shared" si="8"/>
        <v>ATTACHMENTSCP 10</v>
      </c>
      <c r="C206" s="579" t="s">
        <v>162</v>
      </c>
      <c r="D206" s="580">
        <f>Ranks!F14</f>
        <v>0</v>
      </c>
    </row>
    <row r="207" spans="1:4" x14ac:dyDescent="0.2">
      <c r="A207" s="577" t="str">
        <f>Ranks!A15</f>
        <v>SCP 11</v>
      </c>
      <c r="B207" s="578" t="str">
        <f t="shared" si="8"/>
        <v>ATTACHMENTSCP 11</v>
      </c>
      <c r="C207" s="579" t="s">
        <v>162</v>
      </c>
      <c r="D207" s="580">
        <f>Ranks!F15</f>
        <v>0</v>
      </c>
    </row>
    <row r="208" spans="1:4" x14ac:dyDescent="0.2">
      <c r="A208" s="577" t="str">
        <f>Ranks!A16</f>
        <v>SCP 12</v>
      </c>
      <c r="B208" s="578" t="str">
        <f t="shared" si="8"/>
        <v>ATTACHMENTSCP 12</v>
      </c>
      <c r="C208" s="579" t="s">
        <v>162</v>
      </c>
      <c r="D208" s="580">
        <f>Ranks!F16</f>
        <v>0</v>
      </c>
    </row>
    <row r="209" spans="1:4" x14ac:dyDescent="0.2">
      <c r="A209" s="577" t="str">
        <f>Ranks!A17</f>
        <v>SCP 13</v>
      </c>
      <c r="B209" s="578" t="str">
        <f t="shared" si="8"/>
        <v>ATTACHMENTSCP 13</v>
      </c>
      <c r="C209" s="579" t="s">
        <v>162</v>
      </c>
      <c r="D209" s="580">
        <f>Ranks!F17</f>
        <v>0</v>
      </c>
    </row>
    <row r="210" spans="1:4" x14ac:dyDescent="0.2">
      <c r="A210" s="577" t="str">
        <f>Ranks!A18</f>
        <v>SCP 14</v>
      </c>
      <c r="B210" s="578" t="str">
        <f t="shared" si="8"/>
        <v>ATTACHMENTSCP 14</v>
      </c>
      <c r="C210" s="579" t="s">
        <v>162</v>
      </c>
      <c r="D210" s="580">
        <f>Ranks!F18</f>
        <v>0</v>
      </c>
    </row>
    <row r="211" spans="1:4" x14ac:dyDescent="0.2">
      <c r="A211" s="577" t="str">
        <f>Ranks!A19</f>
        <v>SCP 15</v>
      </c>
      <c r="B211" s="578" t="str">
        <f t="shared" si="8"/>
        <v>ATTACHMENTSCP 15</v>
      </c>
      <c r="C211" s="579" t="s">
        <v>162</v>
      </c>
      <c r="D211" s="580">
        <f>Ranks!F19</f>
        <v>0</v>
      </c>
    </row>
    <row r="212" spans="1:4" x14ac:dyDescent="0.2">
      <c r="A212" s="577" t="str">
        <f>Ranks!A20</f>
        <v>SCP 16</v>
      </c>
      <c r="B212" s="578" t="str">
        <f t="shared" si="8"/>
        <v>ATTACHMENTSCP 16</v>
      </c>
      <c r="C212" s="579" t="s">
        <v>162</v>
      </c>
      <c r="D212" s="580">
        <f>Ranks!F20</f>
        <v>0</v>
      </c>
    </row>
    <row r="213" spans="1:4" x14ac:dyDescent="0.2">
      <c r="A213" s="577" t="str">
        <f>Ranks!A21</f>
        <v>SCP 17</v>
      </c>
      <c r="B213" s="578" t="str">
        <f t="shared" si="8"/>
        <v>ATTACHMENTSCP 17</v>
      </c>
      <c r="C213" s="579" t="s">
        <v>162</v>
      </c>
      <c r="D213" s="580">
        <f>Ranks!F21</f>
        <v>0</v>
      </c>
    </row>
    <row r="214" spans="1:4" x14ac:dyDescent="0.2">
      <c r="A214" s="577" t="str">
        <f>Ranks!A22</f>
        <v>SCP 18</v>
      </c>
      <c r="B214" s="578" t="str">
        <f t="shared" si="8"/>
        <v>ATTACHMENTSCP 18</v>
      </c>
      <c r="C214" s="579" t="s">
        <v>162</v>
      </c>
      <c r="D214" s="580">
        <f>Ranks!F22</f>
        <v>0</v>
      </c>
    </row>
    <row r="215" spans="1:4" x14ac:dyDescent="0.2">
      <c r="A215" s="577" t="str">
        <f>Ranks!A23</f>
        <v>SCP 19</v>
      </c>
      <c r="B215" s="578" t="str">
        <f t="shared" si="8"/>
        <v>ATTACHMENTSCP 19</v>
      </c>
      <c r="C215" s="579" t="s">
        <v>162</v>
      </c>
      <c r="D215" s="580">
        <f>Ranks!F23</f>
        <v>0</v>
      </c>
    </row>
    <row r="216" spans="1:4" x14ac:dyDescent="0.2">
      <c r="A216" s="577" t="str">
        <f>Ranks!A24</f>
        <v>SCP 20</v>
      </c>
      <c r="B216" s="578" t="str">
        <f t="shared" si="8"/>
        <v>ATTACHMENTSCP 20</v>
      </c>
      <c r="C216" s="579" t="s">
        <v>162</v>
      </c>
      <c r="D216" s="580">
        <f>Ranks!F24</f>
        <v>0</v>
      </c>
    </row>
    <row r="217" spans="1:4" x14ac:dyDescent="0.2">
      <c r="A217" s="577" t="str">
        <f>Ranks!A25</f>
        <v>SCP 21</v>
      </c>
      <c r="B217" s="578" t="str">
        <f t="shared" si="8"/>
        <v>ATTACHMENTSCP 21</v>
      </c>
      <c r="C217" s="579" t="s">
        <v>162</v>
      </c>
      <c r="D217" s="580">
        <f>Ranks!F25</f>
        <v>0</v>
      </c>
    </row>
    <row r="218" spans="1:4" x14ac:dyDescent="0.2">
      <c r="A218" s="577" t="str">
        <f>Ranks!A26</f>
        <v>SCP 22</v>
      </c>
      <c r="B218" s="578" t="str">
        <f t="shared" si="8"/>
        <v>ATTACHMENTSCP 22</v>
      </c>
      <c r="C218" s="579" t="s">
        <v>162</v>
      </c>
      <c r="D218" s="580">
        <f>Ranks!F26</f>
        <v>0</v>
      </c>
    </row>
    <row r="219" spans="1:4" x14ac:dyDescent="0.2">
      <c r="A219" s="577" t="str">
        <f>Ranks!A27</f>
        <v>SCP 23</v>
      </c>
      <c r="B219" s="578" t="str">
        <f t="shared" si="8"/>
        <v>ATTACHMENTSCP 23</v>
      </c>
      <c r="C219" s="579" t="s">
        <v>162</v>
      </c>
      <c r="D219" s="580">
        <f>Ranks!F27</f>
        <v>0</v>
      </c>
    </row>
    <row r="220" spans="1:4" x14ac:dyDescent="0.2">
      <c r="A220" s="577" t="str">
        <f>Ranks!A28</f>
        <v>SCP 24</v>
      </c>
      <c r="B220" s="578" t="str">
        <f t="shared" si="8"/>
        <v>ATTACHMENTSCP 24</v>
      </c>
      <c r="C220" s="579" t="s">
        <v>162</v>
      </c>
      <c r="D220" s="580">
        <f>Ranks!F28</f>
        <v>0</v>
      </c>
    </row>
    <row r="221" spans="1:4" x14ac:dyDescent="0.2">
      <c r="A221" s="577" t="str">
        <f>Ranks!A29</f>
        <v>SCP 25</v>
      </c>
      <c r="B221" s="578" t="str">
        <f t="shared" si="8"/>
        <v>ATTACHMENTSCP 25</v>
      </c>
      <c r="C221" s="579" t="s">
        <v>162</v>
      </c>
      <c r="D221" s="580">
        <f>Ranks!F29</f>
        <v>0</v>
      </c>
    </row>
    <row r="222" spans="1:4" x14ac:dyDescent="0.2">
      <c r="A222" s="577" t="str">
        <f>Ranks!A30</f>
        <v>SCP 26</v>
      </c>
      <c r="B222" s="578" t="str">
        <f t="shared" si="8"/>
        <v>ATTACHMENTSCP 26</v>
      </c>
      <c r="C222" s="579" t="s">
        <v>162</v>
      </c>
      <c r="D222" s="580">
        <f>Ranks!F30</f>
        <v>0</v>
      </c>
    </row>
    <row r="223" spans="1:4" x14ac:dyDescent="0.2">
      <c r="A223" s="577" t="str">
        <f>Ranks!A31</f>
        <v>SCP 27</v>
      </c>
      <c r="B223" s="578" t="str">
        <f t="shared" ref="B223:B241" si="9">CONCATENATE(C223&amp;A223)</f>
        <v>ATTACHMENTSCP 27</v>
      </c>
      <c r="C223" s="579" t="s">
        <v>162</v>
      </c>
      <c r="D223" s="580">
        <f>Ranks!F31</f>
        <v>0</v>
      </c>
    </row>
    <row r="224" spans="1:4" x14ac:dyDescent="0.2">
      <c r="A224" s="577" t="str">
        <f>Ranks!A32</f>
        <v>SCP 28</v>
      </c>
      <c r="B224" s="578" t="str">
        <f t="shared" si="9"/>
        <v>ATTACHMENTSCP 28</v>
      </c>
      <c r="C224" s="579" t="s">
        <v>162</v>
      </c>
      <c r="D224" s="580">
        <f>Ranks!F32</f>
        <v>0</v>
      </c>
    </row>
    <row r="225" spans="1:4" x14ac:dyDescent="0.2">
      <c r="A225" s="577" t="str">
        <f>Ranks!A33</f>
        <v>SCP 29</v>
      </c>
      <c r="B225" s="578" t="str">
        <f t="shared" si="9"/>
        <v>ATTACHMENTSCP 29</v>
      </c>
      <c r="C225" s="579" t="s">
        <v>162</v>
      </c>
      <c r="D225" s="580">
        <f>Ranks!F33</f>
        <v>0</v>
      </c>
    </row>
    <row r="226" spans="1:4" x14ac:dyDescent="0.2">
      <c r="A226" s="577" t="str">
        <f>Ranks!A34</f>
        <v>SCP 30</v>
      </c>
      <c r="B226" s="578" t="str">
        <f t="shared" si="9"/>
        <v>ATTACHMENTSCP 30</v>
      </c>
      <c r="C226" s="579" t="s">
        <v>162</v>
      </c>
      <c r="D226" s="580">
        <f>Ranks!F34</f>
        <v>0</v>
      </c>
    </row>
    <row r="227" spans="1:4" x14ac:dyDescent="0.2">
      <c r="A227" s="577" t="str">
        <f>Ranks!A35</f>
        <v>SCP 31</v>
      </c>
      <c r="B227" s="578" t="str">
        <f t="shared" si="9"/>
        <v>ATTACHMENTSCP 31</v>
      </c>
      <c r="C227" s="579" t="s">
        <v>162</v>
      </c>
      <c r="D227" s="580">
        <f>Ranks!F35</f>
        <v>0</v>
      </c>
    </row>
    <row r="228" spans="1:4" x14ac:dyDescent="0.2">
      <c r="A228" s="577" t="str">
        <f>Ranks!A36</f>
        <v>SCP 32</v>
      </c>
      <c r="B228" s="578" t="str">
        <f t="shared" si="9"/>
        <v>ATTACHMENTSCP 32</v>
      </c>
      <c r="C228" s="579" t="s">
        <v>162</v>
      </c>
      <c r="D228" s="580">
        <f>Ranks!F36</f>
        <v>0</v>
      </c>
    </row>
    <row r="229" spans="1:4" x14ac:dyDescent="0.2">
      <c r="A229" s="577" t="str">
        <f>Ranks!A37</f>
        <v>SCP 33</v>
      </c>
      <c r="B229" s="578" t="str">
        <f t="shared" si="9"/>
        <v>ATTACHMENTSCP 33</v>
      </c>
      <c r="C229" s="579" t="s">
        <v>162</v>
      </c>
      <c r="D229" s="580">
        <f>Ranks!F37</f>
        <v>0</v>
      </c>
    </row>
    <row r="230" spans="1:4" x14ac:dyDescent="0.2">
      <c r="A230" s="577" t="str">
        <f>Ranks!A38</f>
        <v>SCP 34</v>
      </c>
      <c r="B230" s="578" t="str">
        <f t="shared" si="9"/>
        <v>ATTACHMENTSCP 34</v>
      </c>
      <c r="C230" s="579" t="s">
        <v>162</v>
      </c>
      <c r="D230" s="580">
        <f>Ranks!F38</f>
        <v>0</v>
      </c>
    </row>
    <row r="231" spans="1:4" x14ac:dyDescent="0.2">
      <c r="A231" s="577" t="str">
        <f>Ranks!A39</f>
        <v>SCP 35</v>
      </c>
      <c r="B231" s="578" t="str">
        <f t="shared" si="9"/>
        <v>ATTACHMENTSCP 35</v>
      </c>
      <c r="C231" s="579" t="s">
        <v>162</v>
      </c>
      <c r="D231" s="580">
        <f>Ranks!F39</f>
        <v>0</v>
      </c>
    </row>
    <row r="232" spans="1:4" x14ac:dyDescent="0.2">
      <c r="A232" s="577" t="str">
        <f>Ranks!A40</f>
        <v>SCP 36</v>
      </c>
      <c r="B232" s="578" t="str">
        <f t="shared" si="9"/>
        <v>ATTACHMENTSCP 36</v>
      </c>
      <c r="C232" s="579" t="s">
        <v>162</v>
      </c>
      <c r="D232" s="580">
        <f>Ranks!F40</f>
        <v>0</v>
      </c>
    </row>
    <row r="233" spans="1:4" x14ac:dyDescent="0.2">
      <c r="A233" s="577" t="str">
        <f>Ranks!A41</f>
        <v>SCP 37</v>
      </c>
      <c r="B233" s="578" t="str">
        <f t="shared" si="9"/>
        <v>ATTACHMENTSCP 37</v>
      </c>
      <c r="C233" s="579" t="s">
        <v>162</v>
      </c>
      <c r="D233" s="580">
        <f>Ranks!F41</f>
        <v>0</v>
      </c>
    </row>
    <row r="234" spans="1:4" x14ac:dyDescent="0.2">
      <c r="A234" s="577" t="str">
        <f>Ranks!A42</f>
        <v>SCP 38</v>
      </c>
      <c r="B234" s="578" t="str">
        <f t="shared" si="9"/>
        <v>ATTACHMENTSCP 38</v>
      </c>
      <c r="C234" s="579" t="s">
        <v>162</v>
      </c>
      <c r="D234" s="580">
        <f>Ranks!F42</f>
        <v>0</v>
      </c>
    </row>
    <row r="235" spans="1:4" x14ac:dyDescent="0.2">
      <c r="A235" s="577" t="str">
        <f>Ranks!A43</f>
        <v>SCP 39</v>
      </c>
      <c r="B235" s="578" t="str">
        <f t="shared" si="9"/>
        <v>ATTACHMENTSCP 39</v>
      </c>
      <c r="C235" s="579" t="s">
        <v>162</v>
      </c>
      <c r="D235" s="580">
        <f>Ranks!F43</f>
        <v>0</v>
      </c>
    </row>
    <row r="236" spans="1:4" x14ac:dyDescent="0.2">
      <c r="A236" s="577" t="str">
        <f>Ranks!A44</f>
        <v>SCP 40</v>
      </c>
      <c r="B236" s="578" t="str">
        <f t="shared" si="9"/>
        <v>ATTACHMENTSCP 40</v>
      </c>
      <c r="C236" s="579" t="s">
        <v>162</v>
      </c>
      <c r="D236" s="580">
        <f>Ranks!F44</f>
        <v>0</v>
      </c>
    </row>
    <row r="237" spans="1:4" x14ac:dyDescent="0.2">
      <c r="A237" s="577" t="str">
        <f>Ranks!A45</f>
        <v>SCP 41</v>
      </c>
      <c r="B237" s="578" t="str">
        <f t="shared" si="9"/>
        <v>ATTACHMENTSCP 41</v>
      </c>
      <c r="C237" s="579" t="s">
        <v>162</v>
      </c>
      <c r="D237" s="580">
        <f>Ranks!F45</f>
        <v>0</v>
      </c>
    </row>
    <row r="238" spans="1:4" x14ac:dyDescent="0.2">
      <c r="A238" s="577" t="str">
        <f>Ranks!A46</f>
        <v>SCP 42</v>
      </c>
      <c r="B238" s="578" t="str">
        <f t="shared" si="9"/>
        <v>ATTACHMENTSCP 42</v>
      </c>
      <c r="C238" s="579" t="s">
        <v>162</v>
      </c>
      <c r="D238" s="580">
        <f>Ranks!F46</f>
        <v>0</v>
      </c>
    </row>
    <row r="239" spans="1:4" x14ac:dyDescent="0.2">
      <c r="A239" s="577" t="str">
        <f>Ranks!A47</f>
        <v>SCP 43</v>
      </c>
      <c r="B239" s="578" t="str">
        <f t="shared" si="9"/>
        <v>ATTACHMENTSCP 43</v>
      </c>
      <c r="C239" s="579" t="s">
        <v>162</v>
      </c>
      <c r="D239" s="580">
        <f>Ranks!F47</f>
        <v>0</v>
      </c>
    </row>
    <row r="240" spans="1:4" x14ac:dyDescent="0.2">
      <c r="A240" s="577" t="str">
        <f>Ranks!A48</f>
        <v>SCP 44</v>
      </c>
      <c r="B240" s="578" t="str">
        <f t="shared" si="9"/>
        <v>ATTACHMENTSCP 44</v>
      </c>
      <c r="C240" s="579" t="s">
        <v>162</v>
      </c>
      <c r="D240" s="580">
        <f>Ranks!F48</f>
        <v>0</v>
      </c>
    </row>
    <row r="241" spans="1:4" x14ac:dyDescent="0.2">
      <c r="A241" s="581" t="str">
        <f>Ranks!A49</f>
        <v>SCP 45</v>
      </c>
      <c r="B241" s="582" t="str">
        <f t="shared" si="9"/>
        <v>ATTACHMENTSCP 45</v>
      </c>
      <c r="C241" s="583" t="s">
        <v>162</v>
      </c>
      <c r="D241" s="584">
        <f>Ranks!F49</f>
        <v>0</v>
      </c>
    </row>
    <row r="242" spans="1:4" ht="25.5" x14ac:dyDescent="0.2">
      <c r="A242" s="577" t="str">
        <f>Ranks!A11</f>
        <v>SCP 7</v>
      </c>
      <c r="B242" s="578" t="str">
        <f t="shared" ref="B242:B303" si="10">CONCATENATE(C242&amp;A242)</f>
        <v>PROLONGED MUTUAL AIDSCP 7</v>
      </c>
      <c r="C242" s="579" t="s">
        <v>159</v>
      </c>
      <c r="D242" s="580">
        <f>Ranks!G11</f>
        <v>0</v>
      </c>
    </row>
    <row r="243" spans="1:4" ht="25.5" x14ac:dyDescent="0.2">
      <c r="A243" s="577" t="str">
        <f>Ranks!A12</f>
        <v>SCP 8</v>
      </c>
      <c r="B243" s="578" t="str">
        <f t="shared" si="10"/>
        <v>PROLONGED MUTUAL AIDSCP 8</v>
      </c>
      <c r="C243" s="579" t="s">
        <v>159</v>
      </c>
      <c r="D243" s="580">
        <f>Ranks!G12</f>
        <v>0</v>
      </c>
    </row>
    <row r="244" spans="1:4" ht="25.5" x14ac:dyDescent="0.2">
      <c r="A244" s="577" t="str">
        <f>Ranks!A13</f>
        <v>SCP 9</v>
      </c>
      <c r="B244" s="578" t="str">
        <f t="shared" si="10"/>
        <v>PROLONGED MUTUAL AIDSCP 9</v>
      </c>
      <c r="C244" s="579" t="s">
        <v>159</v>
      </c>
      <c r="D244" s="580">
        <f>Ranks!G13</f>
        <v>0</v>
      </c>
    </row>
    <row r="245" spans="1:4" ht="25.5" x14ac:dyDescent="0.2">
      <c r="A245" s="577" t="str">
        <f>Ranks!A14</f>
        <v>SCP 10</v>
      </c>
      <c r="B245" s="578" t="str">
        <f t="shared" si="10"/>
        <v>PROLONGED MUTUAL AIDSCP 10</v>
      </c>
      <c r="C245" s="579" t="s">
        <v>159</v>
      </c>
      <c r="D245" s="580">
        <f>Ranks!G14</f>
        <v>0</v>
      </c>
    </row>
    <row r="246" spans="1:4" ht="25.5" x14ac:dyDescent="0.2">
      <c r="A246" s="577" t="str">
        <f>Ranks!A15</f>
        <v>SCP 11</v>
      </c>
      <c r="B246" s="578" t="str">
        <f t="shared" si="10"/>
        <v>PROLONGED MUTUAL AIDSCP 11</v>
      </c>
      <c r="C246" s="579" t="s">
        <v>159</v>
      </c>
      <c r="D246" s="580">
        <f>Ranks!G15</f>
        <v>0</v>
      </c>
    </row>
    <row r="247" spans="1:4" ht="25.5" x14ac:dyDescent="0.2">
      <c r="A247" s="577" t="str">
        <f>Ranks!A16</f>
        <v>SCP 12</v>
      </c>
      <c r="B247" s="578" t="str">
        <f t="shared" si="10"/>
        <v>PROLONGED MUTUAL AIDSCP 12</v>
      </c>
      <c r="C247" s="579" t="s">
        <v>159</v>
      </c>
      <c r="D247" s="580">
        <f>Ranks!G16</f>
        <v>0</v>
      </c>
    </row>
    <row r="248" spans="1:4" ht="25.5" x14ac:dyDescent="0.2">
      <c r="A248" s="577" t="str">
        <f>Ranks!A17</f>
        <v>SCP 13</v>
      </c>
      <c r="B248" s="578" t="str">
        <f t="shared" si="10"/>
        <v>PROLONGED MUTUAL AIDSCP 13</v>
      </c>
      <c r="C248" s="579" t="s">
        <v>159</v>
      </c>
      <c r="D248" s="580">
        <f>Ranks!G17</f>
        <v>0</v>
      </c>
    </row>
    <row r="249" spans="1:4" ht="25.5" x14ac:dyDescent="0.2">
      <c r="A249" s="577" t="str">
        <f>Ranks!A18</f>
        <v>SCP 14</v>
      </c>
      <c r="B249" s="578" t="str">
        <f t="shared" si="10"/>
        <v>PROLONGED MUTUAL AIDSCP 14</v>
      </c>
      <c r="C249" s="579" t="s">
        <v>159</v>
      </c>
      <c r="D249" s="580">
        <f>Ranks!G18</f>
        <v>0</v>
      </c>
    </row>
    <row r="250" spans="1:4" ht="25.5" x14ac:dyDescent="0.2">
      <c r="A250" s="577" t="str">
        <f>Ranks!A19</f>
        <v>SCP 15</v>
      </c>
      <c r="B250" s="578" t="str">
        <f t="shared" si="10"/>
        <v>PROLONGED MUTUAL AIDSCP 15</v>
      </c>
      <c r="C250" s="579" t="s">
        <v>159</v>
      </c>
      <c r="D250" s="580">
        <f>Ranks!G19</f>
        <v>0</v>
      </c>
    </row>
    <row r="251" spans="1:4" ht="25.5" x14ac:dyDescent="0.2">
      <c r="A251" s="577" t="str">
        <f>Ranks!A20</f>
        <v>SCP 16</v>
      </c>
      <c r="B251" s="578" t="str">
        <f t="shared" si="10"/>
        <v>PROLONGED MUTUAL AIDSCP 16</v>
      </c>
      <c r="C251" s="579" t="s">
        <v>159</v>
      </c>
      <c r="D251" s="580">
        <f>Ranks!G20</f>
        <v>0</v>
      </c>
    </row>
    <row r="252" spans="1:4" ht="25.5" x14ac:dyDescent="0.2">
      <c r="A252" s="577" t="str">
        <f>Ranks!A21</f>
        <v>SCP 17</v>
      </c>
      <c r="B252" s="578" t="str">
        <f t="shared" si="10"/>
        <v>PROLONGED MUTUAL AIDSCP 17</v>
      </c>
      <c r="C252" s="579" t="s">
        <v>159</v>
      </c>
      <c r="D252" s="580">
        <f>Ranks!G21</f>
        <v>0</v>
      </c>
    </row>
    <row r="253" spans="1:4" ht="25.5" x14ac:dyDescent="0.2">
      <c r="A253" s="577" t="str">
        <f>Ranks!A22</f>
        <v>SCP 18</v>
      </c>
      <c r="B253" s="578" t="str">
        <f t="shared" si="10"/>
        <v>PROLONGED MUTUAL AIDSCP 18</v>
      </c>
      <c r="C253" s="579" t="s">
        <v>159</v>
      </c>
      <c r="D253" s="580">
        <f>Ranks!G22</f>
        <v>0</v>
      </c>
    </row>
    <row r="254" spans="1:4" ht="25.5" x14ac:dyDescent="0.2">
      <c r="A254" s="577" t="str">
        <f>Ranks!A23</f>
        <v>SCP 19</v>
      </c>
      <c r="B254" s="578" t="str">
        <f t="shared" si="10"/>
        <v>PROLONGED MUTUAL AIDSCP 19</v>
      </c>
      <c r="C254" s="579" t="s">
        <v>159</v>
      </c>
      <c r="D254" s="580">
        <f>Ranks!G23</f>
        <v>0</v>
      </c>
    </row>
    <row r="255" spans="1:4" ht="25.5" x14ac:dyDescent="0.2">
      <c r="A255" s="577" t="str">
        <f>Ranks!A24</f>
        <v>SCP 20</v>
      </c>
      <c r="B255" s="578" t="str">
        <f t="shared" si="10"/>
        <v>PROLONGED MUTUAL AIDSCP 20</v>
      </c>
      <c r="C255" s="579" t="s">
        <v>159</v>
      </c>
      <c r="D255" s="580">
        <f>Ranks!G24</f>
        <v>0</v>
      </c>
    </row>
    <row r="256" spans="1:4" ht="25.5" x14ac:dyDescent="0.2">
      <c r="A256" s="577" t="str">
        <f>Ranks!A25</f>
        <v>SCP 21</v>
      </c>
      <c r="B256" s="578" t="str">
        <f t="shared" si="10"/>
        <v>PROLONGED MUTUAL AIDSCP 21</v>
      </c>
      <c r="C256" s="579" t="s">
        <v>159</v>
      </c>
      <c r="D256" s="580">
        <f>Ranks!G25</f>
        <v>0</v>
      </c>
    </row>
    <row r="257" spans="1:4" ht="25.5" x14ac:dyDescent="0.2">
      <c r="A257" s="577" t="str">
        <f>Ranks!A26</f>
        <v>SCP 22</v>
      </c>
      <c r="B257" s="578" t="str">
        <f t="shared" si="10"/>
        <v>PROLONGED MUTUAL AIDSCP 22</v>
      </c>
      <c r="C257" s="579" t="s">
        <v>159</v>
      </c>
      <c r="D257" s="580">
        <f>Ranks!G26</f>
        <v>0</v>
      </c>
    </row>
    <row r="258" spans="1:4" ht="25.5" x14ac:dyDescent="0.2">
      <c r="A258" s="577" t="str">
        <f>Ranks!A27</f>
        <v>SCP 23</v>
      </c>
      <c r="B258" s="578" t="str">
        <f t="shared" si="10"/>
        <v>PROLONGED MUTUAL AIDSCP 23</v>
      </c>
      <c r="C258" s="579" t="s">
        <v>159</v>
      </c>
      <c r="D258" s="580">
        <f>Ranks!G27</f>
        <v>0</v>
      </c>
    </row>
    <row r="259" spans="1:4" ht="25.5" x14ac:dyDescent="0.2">
      <c r="A259" s="577" t="str">
        <f>Ranks!A28</f>
        <v>SCP 24</v>
      </c>
      <c r="B259" s="578" t="str">
        <f t="shared" si="10"/>
        <v>PROLONGED MUTUAL AIDSCP 24</v>
      </c>
      <c r="C259" s="579" t="s">
        <v>159</v>
      </c>
      <c r="D259" s="580">
        <f>Ranks!G28</f>
        <v>0</v>
      </c>
    </row>
    <row r="260" spans="1:4" ht="25.5" x14ac:dyDescent="0.2">
      <c r="A260" s="577" t="str">
        <f>Ranks!A29</f>
        <v>SCP 25</v>
      </c>
      <c r="B260" s="578" t="str">
        <f t="shared" si="10"/>
        <v>PROLONGED MUTUAL AIDSCP 25</v>
      </c>
      <c r="C260" s="579" t="s">
        <v>159</v>
      </c>
      <c r="D260" s="580">
        <f>Ranks!G29</f>
        <v>0</v>
      </c>
    </row>
    <row r="261" spans="1:4" ht="25.5" x14ac:dyDescent="0.2">
      <c r="A261" s="577" t="str">
        <f>Ranks!A30</f>
        <v>SCP 26</v>
      </c>
      <c r="B261" s="578" t="str">
        <f t="shared" si="10"/>
        <v>PROLONGED MUTUAL AIDSCP 26</v>
      </c>
      <c r="C261" s="579" t="s">
        <v>159</v>
      </c>
      <c r="D261" s="580">
        <f>Ranks!G30</f>
        <v>0</v>
      </c>
    </row>
    <row r="262" spans="1:4" ht="25.5" x14ac:dyDescent="0.2">
      <c r="A262" s="577" t="str">
        <f>Ranks!A31</f>
        <v>SCP 27</v>
      </c>
      <c r="B262" s="578" t="str">
        <f t="shared" si="10"/>
        <v>PROLONGED MUTUAL AIDSCP 27</v>
      </c>
      <c r="C262" s="579" t="s">
        <v>159</v>
      </c>
      <c r="D262" s="580">
        <f>Ranks!G31</f>
        <v>0</v>
      </c>
    </row>
    <row r="263" spans="1:4" ht="25.5" x14ac:dyDescent="0.2">
      <c r="A263" s="577" t="str">
        <f>Ranks!A32</f>
        <v>SCP 28</v>
      </c>
      <c r="B263" s="578" t="str">
        <f t="shared" si="10"/>
        <v>PROLONGED MUTUAL AIDSCP 28</v>
      </c>
      <c r="C263" s="579" t="s">
        <v>159</v>
      </c>
      <c r="D263" s="580">
        <f>Ranks!G32</f>
        <v>0</v>
      </c>
    </row>
    <row r="264" spans="1:4" ht="25.5" x14ac:dyDescent="0.2">
      <c r="A264" s="577" t="str">
        <f>Ranks!A33</f>
        <v>SCP 29</v>
      </c>
      <c r="B264" s="578" t="str">
        <f t="shared" si="10"/>
        <v>PROLONGED MUTUAL AIDSCP 29</v>
      </c>
      <c r="C264" s="579" t="s">
        <v>159</v>
      </c>
      <c r="D264" s="580">
        <f>Ranks!G33</f>
        <v>0</v>
      </c>
    </row>
    <row r="265" spans="1:4" ht="25.5" x14ac:dyDescent="0.2">
      <c r="A265" s="577" t="str">
        <f>Ranks!A34</f>
        <v>SCP 30</v>
      </c>
      <c r="B265" s="578" t="str">
        <f t="shared" si="10"/>
        <v>PROLONGED MUTUAL AIDSCP 30</v>
      </c>
      <c r="C265" s="579" t="s">
        <v>159</v>
      </c>
      <c r="D265" s="580">
        <f>Ranks!G34</f>
        <v>0</v>
      </c>
    </row>
    <row r="266" spans="1:4" ht="25.5" x14ac:dyDescent="0.2">
      <c r="A266" s="577" t="str">
        <f>Ranks!A35</f>
        <v>SCP 31</v>
      </c>
      <c r="B266" s="578" t="str">
        <f t="shared" si="10"/>
        <v>PROLONGED MUTUAL AIDSCP 31</v>
      </c>
      <c r="C266" s="579" t="s">
        <v>159</v>
      </c>
      <c r="D266" s="580">
        <f>Ranks!G35</f>
        <v>0</v>
      </c>
    </row>
    <row r="267" spans="1:4" ht="25.5" x14ac:dyDescent="0.2">
      <c r="A267" s="577" t="str">
        <f>Ranks!A36</f>
        <v>SCP 32</v>
      </c>
      <c r="B267" s="578" t="str">
        <f t="shared" si="10"/>
        <v>PROLONGED MUTUAL AIDSCP 32</v>
      </c>
      <c r="C267" s="579" t="s">
        <v>159</v>
      </c>
      <c r="D267" s="580">
        <f>Ranks!G36</f>
        <v>0</v>
      </c>
    </row>
    <row r="268" spans="1:4" ht="25.5" x14ac:dyDescent="0.2">
      <c r="A268" s="577" t="str">
        <f>Ranks!A37</f>
        <v>SCP 33</v>
      </c>
      <c r="B268" s="578" t="str">
        <f t="shared" si="10"/>
        <v>PROLONGED MUTUAL AIDSCP 33</v>
      </c>
      <c r="C268" s="579" t="s">
        <v>159</v>
      </c>
      <c r="D268" s="580">
        <f>Ranks!G37</f>
        <v>0</v>
      </c>
    </row>
    <row r="269" spans="1:4" ht="25.5" x14ac:dyDescent="0.2">
      <c r="A269" s="577" t="str">
        <f>Ranks!A38</f>
        <v>SCP 34</v>
      </c>
      <c r="B269" s="578" t="str">
        <f t="shared" si="10"/>
        <v>PROLONGED MUTUAL AIDSCP 34</v>
      </c>
      <c r="C269" s="579" t="s">
        <v>159</v>
      </c>
      <c r="D269" s="580">
        <f>Ranks!G38</f>
        <v>0</v>
      </c>
    </row>
    <row r="270" spans="1:4" ht="25.5" x14ac:dyDescent="0.2">
      <c r="A270" s="577" t="str">
        <f>Ranks!A39</f>
        <v>SCP 35</v>
      </c>
      <c r="B270" s="578" t="str">
        <f t="shared" si="10"/>
        <v>PROLONGED MUTUAL AIDSCP 35</v>
      </c>
      <c r="C270" s="579" t="s">
        <v>159</v>
      </c>
      <c r="D270" s="580">
        <f>Ranks!G39</f>
        <v>0</v>
      </c>
    </row>
    <row r="271" spans="1:4" ht="25.5" x14ac:dyDescent="0.2">
      <c r="A271" s="577" t="str">
        <f>Ranks!A40</f>
        <v>SCP 36</v>
      </c>
      <c r="B271" s="578" t="str">
        <f t="shared" si="10"/>
        <v>PROLONGED MUTUAL AIDSCP 36</v>
      </c>
      <c r="C271" s="579" t="s">
        <v>159</v>
      </c>
      <c r="D271" s="580">
        <f>Ranks!G40</f>
        <v>0</v>
      </c>
    </row>
    <row r="272" spans="1:4" ht="25.5" x14ac:dyDescent="0.2">
      <c r="A272" s="577" t="str">
        <f>Ranks!A41</f>
        <v>SCP 37</v>
      </c>
      <c r="B272" s="578" t="str">
        <f t="shared" si="10"/>
        <v>PROLONGED MUTUAL AIDSCP 37</v>
      </c>
      <c r="C272" s="579" t="s">
        <v>159</v>
      </c>
      <c r="D272" s="580">
        <f>Ranks!G41</f>
        <v>0</v>
      </c>
    </row>
    <row r="273" spans="1:4" ht="25.5" x14ac:dyDescent="0.2">
      <c r="A273" s="577" t="str">
        <f>Ranks!A42</f>
        <v>SCP 38</v>
      </c>
      <c r="B273" s="578" t="str">
        <f t="shared" si="10"/>
        <v>PROLONGED MUTUAL AIDSCP 38</v>
      </c>
      <c r="C273" s="579" t="s">
        <v>159</v>
      </c>
      <c r="D273" s="580">
        <f>Ranks!G42</f>
        <v>0</v>
      </c>
    </row>
    <row r="274" spans="1:4" ht="25.5" x14ac:dyDescent="0.2">
      <c r="A274" s="577" t="str">
        <f>Ranks!A43</f>
        <v>SCP 39</v>
      </c>
      <c r="B274" s="578" t="str">
        <f t="shared" si="10"/>
        <v>PROLONGED MUTUAL AIDSCP 39</v>
      </c>
      <c r="C274" s="579" t="s">
        <v>159</v>
      </c>
      <c r="D274" s="580">
        <f>Ranks!G43</f>
        <v>0</v>
      </c>
    </row>
    <row r="275" spans="1:4" ht="25.5" x14ac:dyDescent="0.2">
      <c r="A275" s="577" t="str">
        <f>Ranks!A44</f>
        <v>SCP 40</v>
      </c>
      <c r="B275" s="578" t="str">
        <f t="shared" si="10"/>
        <v>PROLONGED MUTUAL AIDSCP 40</v>
      </c>
      <c r="C275" s="579" t="s">
        <v>159</v>
      </c>
      <c r="D275" s="580">
        <f>Ranks!G44</f>
        <v>0</v>
      </c>
    </row>
    <row r="276" spans="1:4" ht="25.5" x14ac:dyDescent="0.2">
      <c r="A276" s="577" t="str">
        <f>Ranks!A45</f>
        <v>SCP 41</v>
      </c>
      <c r="B276" s="578" t="str">
        <f t="shared" si="10"/>
        <v>PROLONGED MUTUAL AIDSCP 41</v>
      </c>
      <c r="C276" s="579" t="s">
        <v>159</v>
      </c>
      <c r="D276" s="580">
        <f>Ranks!G45</f>
        <v>0</v>
      </c>
    </row>
    <row r="277" spans="1:4" ht="25.5" x14ac:dyDescent="0.2">
      <c r="A277" s="577" t="str">
        <f>Ranks!A46</f>
        <v>SCP 42</v>
      </c>
      <c r="B277" s="578" t="str">
        <f t="shared" si="10"/>
        <v>PROLONGED MUTUAL AIDSCP 42</v>
      </c>
      <c r="C277" s="579" t="s">
        <v>159</v>
      </c>
      <c r="D277" s="580">
        <f>Ranks!G46</f>
        <v>0</v>
      </c>
    </row>
    <row r="278" spans="1:4" ht="25.5" x14ac:dyDescent="0.2">
      <c r="A278" s="577" t="str">
        <f>Ranks!A47</f>
        <v>SCP 43</v>
      </c>
      <c r="B278" s="578" t="str">
        <f t="shared" si="10"/>
        <v>PROLONGED MUTUAL AIDSCP 43</v>
      </c>
      <c r="C278" s="579" t="s">
        <v>159</v>
      </c>
      <c r="D278" s="580">
        <f>Ranks!G47</f>
        <v>0</v>
      </c>
    </row>
    <row r="279" spans="1:4" ht="25.5" x14ac:dyDescent="0.2">
      <c r="A279" s="577" t="str">
        <f>Ranks!A48</f>
        <v>SCP 44</v>
      </c>
      <c r="B279" s="578" t="str">
        <f t="shared" si="10"/>
        <v>PROLONGED MUTUAL AIDSCP 44</v>
      </c>
      <c r="C279" s="579" t="s">
        <v>159</v>
      </c>
      <c r="D279" s="580">
        <f>Ranks!G48</f>
        <v>0</v>
      </c>
    </row>
    <row r="280" spans="1:4" ht="25.5" x14ac:dyDescent="0.2">
      <c r="A280" s="581" t="str">
        <f>Ranks!A49</f>
        <v>SCP 45</v>
      </c>
      <c r="B280" s="582" t="str">
        <f t="shared" si="10"/>
        <v>PROLONGED MUTUAL AIDSCP 45</v>
      </c>
      <c r="C280" s="583" t="s">
        <v>159</v>
      </c>
      <c r="D280" s="584">
        <f>Ranks!G49</f>
        <v>0</v>
      </c>
    </row>
    <row r="281" spans="1:4" x14ac:dyDescent="0.2">
      <c r="A281" s="570" t="e">
        <f>Ranks!#REF!</f>
        <v>#REF!</v>
      </c>
      <c r="B281" s="571" t="e">
        <f>CONCATENATE(C281&amp;A281)</f>
        <v>#REF!</v>
      </c>
      <c r="C281" s="572" t="s">
        <v>160</v>
      </c>
      <c r="D281" s="573" t="e">
        <f>#REF!</f>
        <v>#REF!</v>
      </c>
    </row>
    <row r="282" spans="1:4" x14ac:dyDescent="0.2">
      <c r="A282" s="577" t="e">
        <f>Ranks!#REF!</f>
        <v>#REF!</v>
      </c>
      <c r="B282" s="578" t="e">
        <f t="shared" si="10"/>
        <v>#REF!</v>
      </c>
      <c r="C282" s="579" t="s">
        <v>160</v>
      </c>
      <c r="D282" s="580" t="e">
        <f>#REF!</f>
        <v>#REF!</v>
      </c>
    </row>
    <row r="283" spans="1:4" x14ac:dyDescent="0.2">
      <c r="A283" s="577" t="e">
        <f>Ranks!#REF!</f>
        <v>#REF!</v>
      </c>
      <c r="B283" s="578" t="e">
        <f t="shared" si="10"/>
        <v>#REF!</v>
      </c>
      <c r="C283" s="579" t="s">
        <v>160</v>
      </c>
      <c r="D283" s="580" t="e">
        <f>#REF!</f>
        <v>#REF!</v>
      </c>
    </row>
    <row r="284" spans="1:4" x14ac:dyDescent="0.2">
      <c r="A284" s="577" t="str">
        <f>Ranks!A11</f>
        <v>SCP 7</v>
      </c>
      <c r="B284" s="578" t="str">
        <f t="shared" si="10"/>
        <v>SECONDMENTSCP 7</v>
      </c>
      <c r="C284" s="579" t="s">
        <v>160</v>
      </c>
      <c r="D284" s="580">
        <f t="shared" ref="D284:D322" si="11">D203</f>
        <v>0</v>
      </c>
    </row>
    <row r="285" spans="1:4" x14ac:dyDescent="0.2">
      <c r="A285" s="577" t="str">
        <f>Ranks!A12</f>
        <v>SCP 8</v>
      </c>
      <c r="B285" s="578" t="str">
        <f t="shared" si="10"/>
        <v>SECONDMENTSCP 8</v>
      </c>
      <c r="C285" s="579" t="s">
        <v>160</v>
      </c>
      <c r="D285" s="580">
        <f t="shared" si="11"/>
        <v>0</v>
      </c>
    </row>
    <row r="286" spans="1:4" x14ac:dyDescent="0.2">
      <c r="A286" s="577" t="str">
        <f>Ranks!A13</f>
        <v>SCP 9</v>
      </c>
      <c r="B286" s="578" t="str">
        <f t="shared" si="10"/>
        <v>SECONDMENTSCP 9</v>
      </c>
      <c r="C286" s="579" t="s">
        <v>160</v>
      </c>
      <c r="D286" s="580">
        <f t="shared" si="11"/>
        <v>0</v>
      </c>
    </row>
    <row r="287" spans="1:4" x14ac:dyDescent="0.2">
      <c r="A287" s="577" t="str">
        <f>Ranks!A14</f>
        <v>SCP 10</v>
      </c>
      <c r="B287" s="578" t="str">
        <f t="shared" si="10"/>
        <v>SECONDMENTSCP 10</v>
      </c>
      <c r="C287" s="579" t="s">
        <v>160</v>
      </c>
      <c r="D287" s="580">
        <f t="shared" si="11"/>
        <v>0</v>
      </c>
    </row>
    <row r="288" spans="1:4" x14ac:dyDescent="0.2">
      <c r="A288" s="577" t="str">
        <f>Ranks!A15</f>
        <v>SCP 11</v>
      </c>
      <c r="B288" s="578" t="str">
        <f t="shared" si="10"/>
        <v>SECONDMENTSCP 11</v>
      </c>
      <c r="C288" s="579" t="s">
        <v>160</v>
      </c>
      <c r="D288" s="580">
        <f t="shared" si="11"/>
        <v>0</v>
      </c>
    </row>
    <row r="289" spans="1:4" x14ac:dyDescent="0.2">
      <c r="A289" s="577" t="str">
        <f>Ranks!A16</f>
        <v>SCP 12</v>
      </c>
      <c r="B289" s="578" t="str">
        <f t="shared" si="10"/>
        <v>SECONDMENTSCP 12</v>
      </c>
      <c r="C289" s="579" t="s">
        <v>160</v>
      </c>
      <c r="D289" s="580">
        <f t="shared" si="11"/>
        <v>0</v>
      </c>
    </row>
    <row r="290" spans="1:4" x14ac:dyDescent="0.2">
      <c r="A290" s="577" t="str">
        <f>Ranks!A17</f>
        <v>SCP 13</v>
      </c>
      <c r="B290" s="578" t="str">
        <f t="shared" si="10"/>
        <v>SECONDMENTSCP 13</v>
      </c>
      <c r="C290" s="579" t="s">
        <v>160</v>
      </c>
      <c r="D290" s="580">
        <f t="shared" si="11"/>
        <v>0</v>
      </c>
    </row>
    <row r="291" spans="1:4" x14ac:dyDescent="0.2">
      <c r="A291" s="577" t="str">
        <f>Ranks!A18</f>
        <v>SCP 14</v>
      </c>
      <c r="B291" s="578" t="str">
        <f t="shared" si="10"/>
        <v>SECONDMENTSCP 14</v>
      </c>
      <c r="C291" s="579" t="s">
        <v>160</v>
      </c>
      <c r="D291" s="580">
        <f t="shared" si="11"/>
        <v>0</v>
      </c>
    </row>
    <row r="292" spans="1:4" x14ac:dyDescent="0.2">
      <c r="A292" s="577" t="str">
        <f>Ranks!A19</f>
        <v>SCP 15</v>
      </c>
      <c r="B292" s="578" t="str">
        <f t="shared" si="10"/>
        <v>SECONDMENTSCP 15</v>
      </c>
      <c r="C292" s="579" t="s">
        <v>160</v>
      </c>
      <c r="D292" s="580">
        <f t="shared" si="11"/>
        <v>0</v>
      </c>
    </row>
    <row r="293" spans="1:4" x14ac:dyDescent="0.2">
      <c r="A293" s="577" t="str">
        <f>Ranks!A20</f>
        <v>SCP 16</v>
      </c>
      <c r="B293" s="578" t="str">
        <f t="shared" si="10"/>
        <v>SECONDMENTSCP 16</v>
      </c>
      <c r="C293" s="579" t="s">
        <v>160</v>
      </c>
      <c r="D293" s="580">
        <f t="shared" si="11"/>
        <v>0</v>
      </c>
    </row>
    <row r="294" spans="1:4" x14ac:dyDescent="0.2">
      <c r="A294" s="577" t="str">
        <f>Ranks!A21</f>
        <v>SCP 17</v>
      </c>
      <c r="B294" s="578" t="str">
        <f t="shared" si="10"/>
        <v>SECONDMENTSCP 17</v>
      </c>
      <c r="C294" s="579" t="s">
        <v>160</v>
      </c>
      <c r="D294" s="580">
        <f t="shared" si="11"/>
        <v>0</v>
      </c>
    </row>
    <row r="295" spans="1:4" x14ac:dyDescent="0.2">
      <c r="A295" s="577" t="str">
        <f>Ranks!A22</f>
        <v>SCP 18</v>
      </c>
      <c r="B295" s="578" t="str">
        <f t="shared" si="10"/>
        <v>SECONDMENTSCP 18</v>
      </c>
      <c r="C295" s="579" t="s">
        <v>160</v>
      </c>
      <c r="D295" s="580">
        <f t="shared" si="11"/>
        <v>0</v>
      </c>
    </row>
    <row r="296" spans="1:4" x14ac:dyDescent="0.2">
      <c r="A296" s="577" t="str">
        <f>Ranks!A23</f>
        <v>SCP 19</v>
      </c>
      <c r="B296" s="578" t="str">
        <f t="shared" si="10"/>
        <v>SECONDMENTSCP 19</v>
      </c>
      <c r="C296" s="579" t="s">
        <v>160</v>
      </c>
      <c r="D296" s="580">
        <f t="shared" si="11"/>
        <v>0</v>
      </c>
    </row>
    <row r="297" spans="1:4" x14ac:dyDescent="0.2">
      <c r="A297" s="577" t="str">
        <f>Ranks!A24</f>
        <v>SCP 20</v>
      </c>
      <c r="B297" s="578" t="str">
        <f t="shared" si="10"/>
        <v>SECONDMENTSCP 20</v>
      </c>
      <c r="C297" s="579" t="s">
        <v>160</v>
      </c>
      <c r="D297" s="580">
        <f t="shared" si="11"/>
        <v>0</v>
      </c>
    </row>
    <row r="298" spans="1:4" x14ac:dyDescent="0.2">
      <c r="A298" s="577" t="str">
        <f>Ranks!A25</f>
        <v>SCP 21</v>
      </c>
      <c r="B298" s="578" t="str">
        <f t="shared" si="10"/>
        <v>SECONDMENTSCP 21</v>
      </c>
      <c r="C298" s="579" t="s">
        <v>160</v>
      </c>
      <c r="D298" s="580">
        <f t="shared" si="11"/>
        <v>0</v>
      </c>
    </row>
    <row r="299" spans="1:4" x14ac:dyDescent="0.2">
      <c r="A299" s="577" t="str">
        <f>Ranks!A26</f>
        <v>SCP 22</v>
      </c>
      <c r="B299" s="578" t="str">
        <f t="shared" si="10"/>
        <v>SECONDMENTSCP 22</v>
      </c>
      <c r="C299" s="579" t="s">
        <v>160</v>
      </c>
      <c r="D299" s="580">
        <f t="shared" si="11"/>
        <v>0</v>
      </c>
    </row>
    <row r="300" spans="1:4" x14ac:dyDescent="0.2">
      <c r="A300" s="577" t="str">
        <f>Ranks!A27</f>
        <v>SCP 23</v>
      </c>
      <c r="B300" s="578" t="str">
        <f t="shared" si="10"/>
        <v>SECONDMENTSCP 23</v>
      </c>
      <c r="C300" s="579" t="s">
        <v>160</v>
      </c>
      <c r="D300" s="580">
        <f t="shared" si="11"/>
        <v>0</v>
      </c>
    </row>
    <row r="301" spans="1:4" x14ac:dyDescent="0.2">
      <c r="A301" s="577" t="str">
        <f>Ranks!A28</f>
        <v>SCP 24</v>
      </c>
      <c r="B301" s="578" t="str">
        <f t="shared" si="10"/>
        <v>SECONDMENTSCP 24</v>
      </c>
      <c r="C301" s="579" t="s">
        <v>160</v>
      </c>
      <c r="D301" s="580">
        <f t="shared" si="11"/>
        <v>0</v>
      </c>
    </row>
    <row r="302" spans="1:4" x14ac:dyDescent="0.2">
      <c r="A302" s="577" t="str">
        <f>Ranks!A29</f>
        <v>SCP 25</v>
      </c>
      <c r="B302" s="578" t="str">
        <f t="shared" si="10"/>
        <v>SECONDMENTSCP 25</v>
      </c>
      <c r="C302" s="579" t="s">
        <v>160</v>
      </c>
      <c r="D302" s="580">
        <f t="shared" si="11"/>
        <v>0</v>
      </c>
    </row>
    <row r="303" spans="1:4" x14ac:dyDescent="0.2">
      <c r="A303" s="577" t="str">
        <f>Ranks!A30</f>
        <v>SCP 26</v>
      </c>
      <c r="B303" s="578" t="str">
        <f t="shared" si="10"/>
        <v>SECONDMENTSCP 26</v>
      </c>
      <c r="C303" s="579" t="s">
        <v>160</v>
      </c>
      <c r="D303" s="580">
        <f t="shared" si="11"/>
        <v>0</v>
      </c>
    </row>
    <row r="304" spans="1:4" x14ac:dyDescent="0.2">
      <c r="A304" s="577" t="str">
        <f>Ranks!A31</f>
        <v>SCP 27</v>
      </c>
      <c r="B304" s="578" t="str">
        <f t="shared" ref="B304:B322" si="12">CONCATENATE(C304&amp;A304)</f>
        <v>SECONDMENTSCP 27</v>
      </c>
      <c r="C304" s="579" t="s">
        <v>160</v>
      </c>
      <c r="D304" s="580">
        <f t="shared" si="11"/>
        <v>0</v>
      </c>
    </row>
    <row r="305" spans="1:4" x14ac:dyDescent="0.2">
      <c r="A305" s="577" t="str">
        <f>Ranks!A32</f>
        <v>SCP 28</v>
      </c>
      <c r="B305" s="578" t="str">
        <f t="shared" si="12"/>
        <v>SECONDMENTSCP 28</v>
      </c>
      <c r="C305" s="579" t="s">
        <v>160</v>
      </c>
      <c r="D305" s="580">
        <f t="shared" si="11"/>
        <v>0</v>
      </c>
    </row>
    <row r="306" spans="1:4" x14ac:dyDescent="0.2">
      <c r="A306" s="577" t="str">
        <f>Ranks!A33</f>
        <v>SCP 29</v>
      </c>
      <c r="B306" s="578" t="str">
        <f t="shared" si="12"/>
        <v>SECONDMENTSCP 29</v>
      </c>
      <c r="C306" s="579" t="s">
        <v>160</v>
      </c>
      <c r="D306" s="580">
        <f t="shared" si="11"/>
        <v>0</v>
      </c>
    </row>
    <row r="307" spans="1:4" x14ac:dyDescent="0.2">
      <c r="A307" s="577" t="str">
        <f>Ranks!A34</f>
        <v>SCP 30</v>
      </c>
      <c r="B307" s="578" t="str">
        <f t="shared" si="12"/>
        <v>SECONDMENTSCP 30</v>
      </c>
      <c r="C307" s="579" t="s">
        <v>160</v>
      </c>
      <c r="D307" s="580">
        <f t="shared" si="11"/>
        <v>0</v>
      </c>
    </row>
    <row r="308" spans="1:4" x14ac:dyDescent="0.2">
      <c r="A308" s="577" t="str">
        <f>Ranks!A35</f>
        <v>SCP 31</v>
      </c>
      <c r="B308" s="578" t="str">
        <f t="shared" si="12"/>
        <v>SECONDMENTSCP 31</v>
      </c>
      <c r="C308" s="579" t="s">
        <v>160</v>
      </c>
      <c r="D308" s="580">
        <f t="shared" si="11"/>
        <v>0</v>
      </c>
    </row>
    <row r="309" spans="1:4" x14ac:dyDescent="0.2">
      <c r="A309" s="577" t="str">
        <f>Ranks!A36</f>
        <v>SCP 32</v>
      </c>
      <c r="B309" s="578" t="str">
        <f t="shared" si="12"/>
        <v>SECONDMENTSCP 32</v>
      </c>
      <c r="C309" s="579" t="s">
        <v>160</v>
      </c>
      <c r="D309" s="580">
        <f t="shared" si="11"/>
        <v>0</v>
      </c>
    </row>
    <row r="310" spans="1:4" x14ac:dyDescent="0.2">
      <c r="A310" s="577" t="str">
        <f>Ranks!A37</f>
        <v>SCP 33</v>
      </c>
      <c r="B310" s="578" t="str">
        <f t="shared" si="12"/>
        <v>SECONDMENTSCP 33</v>
      </c>
      <c r="C310" s="579" t="s">
        <v>160</v>
      </c>
      <c r="D310" s="580">
        <f t="shared" si="11"/>
        <v>0</v>
      </c>
    </row>
    <row r="311" spans="1:4" x14ac:dyDescent="0.2">
      <c r="A311" s="577" t="str">
        <f>Ranks!A38</f>
        <v>SCP 34</v>
      </c>
      <c r="B311" s="578" t="str">
        <f t="shared" si="12"/>
        <v>SECONDMENTSCP 34</v>
      </c>
      <c r="C311" s="579" t="s">
        <v>160</v>
      </c>
      <c r="D311" s="580">
        <f t="shared" si="11"/>
        <v>0</v>
      </c>
    </row>
    <row r="312" spans="1:4" x14ac:dyDescent="0.2">
      <c r="A312" s="577" t="str">
        <f>Ranks!A39</f>
        <v>SCP 35</v>
      </c>
      <c r="B312" s="578" t="str">
        <f t="shared" si="12"/>
        <v>SECONDMENTSCP 35</v>
      </c>
      <c r="C312" s="579" t="s">
        <v>160</v>
      </c>
      <c r="D312" s="580">
        <f t="shared" si="11"/>
        <v>0</v>
      </c>
    </row>
    <row r="313" spans="1:4" x14ac:dyDescent="0.2">
      <c r="A313" s="577" t="str">
        <f>Ranks!A40</f>
        <v>SCP 36</v>
      </c>
      <c r="B313" s="578" t="str">
        <f t="shared" si="12"/>
        <v>SECONDMENTSCP 36</v>
      </c>
      <c r="C313" s="579" t="s">
        <v>160</v>
      </c>
      <c r="D313" s="580">
        <f t="shared" si="11"/>
        <v>0</v>
      </c>
    </row>
    <row r="314" spans="1:4" x14ac:dyDescent="0.2">
      <c r="A314" s="577" t="str">
        <f>Ranks!A41</f>
        <v>SCP 37</v>
      </c>
      <c r="B314" s="578" t="str">
        <f t="shared" si="12"/>
        <v>SECONDMENTSCP 37</v>
      </c>
      <c r="C314" s="579" t="s">
        <v>160</v>
      </c>
      <c r="D314" s="580">
        <f t="shared" si="11"/>
        <v>0</v>
      </c>
    </row>
    <row r="315" spans="1:4" x14ac:dyDescent="0.2">
      <c r="A315" s="577" t="str">
        <f>Ranks!A42</f>
        <v>SCP 38</v>
      </c>
      <c r="B315" s="578" t="str">
        <f t="shared" si="12"/>
        <v>SECONDMENTSCP 38</v>
      </c>
      <c r="C315" s="579" t="s">
        <v>160</v>
      </c>
      <c r="D315" s="580">
        <f t="shared" si="11"/>
        <v>0</v>
      </c>
    </row>
    <row r="316" spans="1:4" x14ac:dyDescent="0.2">
      <c r="A316" s="577" t="str">
        <f>Ranks!A43</f>
        <v>SCP 39</v>
      </c>
      <c r="B316" s="578" t="str">
        <f t="shared" si="12"/>
        <v>SECONDMENTSCP 39</v>
      </c>
      <c r="C316" s="579" t="s">
        <v>160</v>
      </c>
      <c r="D316" s="580">
        <f t="shared" si="11"/>
        <v>0</v>
      </c>
    </row>
    <row r="317" spans="1:4" x14ac:dyDescent="0.2">
      <c r="A317" s="577" t="str">
        <f>Ranks!A44</f>
        <v>SCP 40</v>
      </c>
      <c r="B317" s="578" t="str">
        <f t="shared" si="12"/>
        <v>SECONDMENTSCP 40</v>
      </c>
      <c r="C317" s="579" t="s">
        <v>160</v>
      </c>
      <c r="D317" s="580">
        <f t="shared" si="11"/>
        <v>0</v>
      </c>
    </row>
    <row r="318" spans="1:4" x14ac:dyDescent="0.2">
      <c r="A318" s="577" t="str">
        <f>Ranks!A45</f>
        <v>SCP 41</v>
      </c>
      <c r="B318" s="578" t="str">
        <f t="shared" si="12"/>
        <v>SECONDMENTSCP 41</v>
      </c>
      <c r="C318" s="579" t="s">
        <v>160</v>
      </c>
      <c r="D318" s="580">
        <f t="shared" si="11"/>
        <v>0</v>
      </c>
    </row>
    <row r="319" spans="1:4" x14ac:dyDescent="0.2">
      <c r="A319" s="577" t="str">
        <f>Ranks!A46</f>
        <v>SCP 42</v>
      </c>
      <c r="B319" s="578" t="str">
        <f t="shared" si="12"/>
        <v>SECONDMENTSCP 42</v>
      </c>
      <c r="C319" s="579" t="s">
        <v>160</v>
      </c>
      <c r="D319" s="580">
        <f t="shared" si="11"/>
        <v>0</v>
      </c>
    </row>
    <row r="320" spans="1:4" x14ac:dyDescent="0.2">
      <c r="A320" s="577" t="str">
        <f>Ranks!A47</f>
        <v>SCP 43</v>
      </c>
      <c r="B320" s="578" t="str">
        <f t="shared" si="12"/>
        <v>SECONDMENTSCP 43</v>
      </c>
      <c r="C320" s="579" t="s">
        <v>160</v>
      </c>
      <c r="D320" s="580">
        <f t="shared" si="11"/>
        <v>0</v>
      </c>
    </row>
    <row r="321" spans="1:4" x14ac:dyDescent="0.2">
      <c r="A321" s="577" t="str">
        <f>Ranks!A48</f>
        <v>SCP 44</v>
      </c>
      <c r="B321" s="578" t="str">
        <f t="shared" si="12"/>
        <v>SECONDMENTSCP 44</v>
      </c>
      <c r="C321" s="579" t="s">
        <v>160</v>
      </c>
      <c r="D321" s="580">
        <f t="shared" si="11"/>
        <v>0</v>
      </c>
    </row>
    <row r="322" spans="1:4" x14ac:dyDescent="0.2">
      <c r="A322" s="581" t="str">
        <f>Ranks!A49</f>
        <v>SCP 45</v>
      </c>
      <c r="B322" s="582" t="str">
        <f t="shared" si="12"/>
        <v>SECONDMENTSCP 45</v>
      </c>
      <c r="C322" s="583" t="s">
        <v>160</v>
      </c>
      <c r="D322" s="584">
        <f t="shared" si="11"/>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92D050"/>
  </sheetPr>
  <dimension ref="A1:Z41"/>
  <sheetViews>
    <sheetView zoomScale="75" zoomScaleNormal="75" workbookViewId="0">
      <pane xSplit="4" ySplit="2" topLeftCell="E3" activePane="bottomRight" state="frozen"/>
      <selection activeCell="D4" sqref="D4:J11"/>
      <selection pane="topRight" activeCell="D4" sqref="D4:J11"/>
      <selection pane="bottomLeft" activeCell="D4" sqref="D4:J11"/>
      <selection pane="bottomRight" activeCell="D4" sqref="D4:J11"/>
    </sheetView>
  </sheetViews>
  <sheetFormatPr defaultRowHeight="15.75" x14ac:dyDescent="0.25"/>
  <cols>
    <col min="1" max="1" width="5.88671875" style="568" bestFit="1" customWidth="1"/>
    <col min="2" max="2" width="7.21875" style="568" bestFit="1" customWidth="1"/>
    <col min="3" max="3" width="6.88671875" style="568" bestFit="1" customWidth="1"/>
    <col min="4" max="4" width="5.44140625" style="535" bestFit="1" customWidth="1"/>
    <col min="5" max="5" width="12.6640625" style="535" bestFit="1" customWidth="1"/>
    <col min="6" max="6" width="7.109375" style="569" bestFit="1" customWidth="1"/>
    <col min="7" max="7" width="13.88671875" style="535" bestFit="1" customWidth="1"/>
    <col min="8" max="8" width="8.88671875" style="535"/>
    <col min="9" max="9" width="5.88671875" style="535" bestFit="1" customWidth="1"/>
    <col min="10" max="10" width="12.88671875" style="536" bestFit="1" customWidth="1"/>
    <col min="11" max="14" width="6.77734375" style="535" bestFit="1" customWidth="1"/>
    <col min="15" max="15" width="7.109375" style="569" bestFit="1" customWidth="1"/>
    <col min="16" max="16" width="16" style="535" bestFit="1" customWidth="1"/>
    <col min="17" max="17" width="14.77734375" style="535" bestFit="1" customWidth="1"/>
    <col min="18" max="18" width="10.6640625" style="535" bestFit="1" customWidth="1"/>
    <col min="19" max="19" width="39.109375" style="535" bestFit="1" customWidth="1"/>
    <col min="20" max="20" width="9.88671875" style="535" bestFit="1" customWidth="1"/>
    <col min="21" max="23" width="6.88671875" style="535" bestFit="1" customWidth="1"/>
    <col min="24" max="25" width="8.88671875" style="535"/>
    <col min="26" max="26" width="9.33203125" style="535" bestFit="1" customWidth="1"/>
    <col min="27" max="260" width="8.88671875" style="535"/>
    <col min="261" max="261" width="10.6640625" style="535" bestFit="1" customWidth="1"/>
    <col min="262" max="262" width="10.6640625" style="535" customWidth="1"/>
    <col min="263" max="263" width="8.88671875" style="535"/>
    <col min="264" max="264" width="10.44140625" style="535" customWidth="1"/>
    <col min="265" max="516" width="8.88671875" style="535"/>
    <col min="517" max="517" width="10.6640625" style="535" bestFit="1" customWidth="1"/>
    <col min="518" max="518" width="10.6640625" style="535" customWidth="1"/>
    <col min="519" max="519" width="8.88671875" style="535"/>
    <col min="520" max="520" width="10.44140625" style="535" customWidth="1"/>
    <col min="521" max="772" width="8.88671875" style="535"/>
    <col min="773" max="773" width="10.6640625" style="535" bestFit="1" customWidth="1"/>
    <col min="774" max="774" width="10.6640625" style="535" customWidth="1"/>
    <col min="775" max="775" width="8.88671875" style="535"/>
    <col min="776" max="776" width="10.44140625" style="535" customWidth="1"/>
    <col min="777" max="1028" width="8.88671875" style="535"/>
    <col min="1029" max="1029" width="10.6640625" style="535" bestFit="1" customWidth="1"/>
    <col min="1030" max="1030" width="10.6640625" style="535" customWidth="1"/>
    <col min="1031" max="1031" width="8.88671875" style="535"/>
    <col min="1032" max="1032" width="10.44140625" style="535" customWidth="1"/>
    <col min="1033" max="1284" width="8.88671875" style="535"/>
    <col min="1285" max="1285" width="10.6640625" style="535" bestFit="1" customWidth="1"/>
    <col min="1286" max="1286" width="10.6640625" style="535" customWidth="1"/>
    <col min="1287" max="1287" width="8.88671875" style="535"/>
    <col min="1288" max="1288" width="10.44140625" style="535" customWidth="1"/>
    <col min="1289" max="1540" width="8.88671875" style="535"/>
    <col min="1541" max="1541" width="10.6640625" style="535" bestFit="1" customWidth="1"/>
    <col min="1542" max="1542" width="10.6640625" style="535" customWidth="1"/>
    <col min="1543" max="1543" width="8.88671875" style="535"/>
    <col min="1544" max="1544" width="10.44140625" style="535" customWidth="1"/>
    <col min="1545" max="1796" width="8.88671875" style="535"/>
    <col min="1797" max="1797" width="10.6640625" style="535" bestFit="1" customWidth="1"/>
    <col min="1798" max="1798" width="10.6640625" style="535" customWidth="1"/>
    <col min="1799" max="1799" width="8.88671875" style="535"/>
    <col min="1800" max="1800" width="10.44140625" style="535" customWidth="1"/>
    <col min="1801" max="2052" width="8.88671875" style="535"/>
    <col min="2053" max="2053" width="10.6640625" style="535" bestFit="1" customWidth="1"/>
    <col min="2054" max="2054" width="10.6640625" style="535" customWidth="1"/>
    <col min="2055" max="2055" width="8.88671875" style="535"/>
    <col min="2056" max="2056" width="10.44140625" style="535" customWidth="1"/>
    <col min="2057" max="2308" width="8.88671875" style="535"/>
    <col min="2309" max="2309" width="10.6640625" style="535" bestFit="1" customWidth="1"/>
    <col min="2310" max="2310" width="10.6640625" style="535" customWidth="1"/>
    <col min="2311" max="2311" width="8.88671875" style="535"/>
    <col min="2312" max="2312" width="10.44140625" style="535" customWidth="1"/>
    <col min="2313" max="2564" width="8.88671875" style="535"/>
    <col min="2565" max="2565" width="10.6640625" style="535" bestFit="1" customWidth="1"/>
    <col min="2566" max="2566" width="10.6640625" style="535" customWidth="1"/>
    <col min="2567" max="2567" width="8.88671875" style="535"/>
    <col min="2568" max="2568" width="10.44140625" style="535" customWidth="1"/>
    <col min="2569" max="2820" width="8.88671875" style="535"/>
    <col min="2821" max="2821" width="10.6640625" style="535" bestFit="1" customWidth="1"/>
    <col min="2822" max="2822" width="10.6640625" style="535" customWidth="1"/>
    <col min="2823" max="2823" width="8.88671875" style="535"/>
    <col min="2824" max="2824" width="10.44140625" style="535" customWidth="1"/>
    <col min="2825" max="3076" width="8.88671875" style="535"/>
    <col min="3077" max="3077" width="10.6640625" style="535" bestFit="1" customWidth="1"/>
    <col min="3078" max="3078" width="10.6640625" style="535" customWidth="1"/>
    <col min="3079" max="3079" width="8.88671875" style="535"/>
    <col min="3080" max="3080" width="10.44140625" style="535" customWidth="1"/>
    <col min="3081" max="3332" width="8.88671875" style="535"/>
    <col min="3333" max="3333" width="10.6640625" style="535" bestFit="1" customWidth="1"/>
    <col min="3334" max="3334" width="10.6640625" style="535" customWidth="1"/>
    <col min="3335" max="3335" width="8.88671875" style="535"/>
    <col min="3336" max="3336" width="10.44140625" style="535" customWidth="1"/>
    <col min="3337" max="3588" width="8.88671875" style="535"/>
    <col min="3589" max="3589" width="10.6640625" style="535" bestFit="1" customWidth="1"/>
    <col min="3590" max="3590" width="10.6640625" style="535" customWidth="1"/>
    <col min="3591" max="3591" width="8.88671875" style="535"/>
    <col min="3592" max="3592" width="10.44140625" style="535" customWidth="1"/>
    <col min="3593" max="3844" width="8.88671875" style="535"/>
    <col min="3845" max="3845" width="10.6640625" style="535" bestFit="1" customWidth="1"/>
    <col min="3846" max="3846" width="10.6640625" style="535" customWidth="1"/>
    <col min="3847" max="3847" width="8.88671875" style="535"/>
    <col min="3848" max="3848" width="10.44140625" style="535" customWidth="1"/>
    <col min="3849" max="4100" width="8.88671875" style="535"/>
    <col min="4101" max="4101" width="10.6640625" style="535" bestFit="1" customWidth="1"/>
    <col min="4102" max="4102" width="10.6640625" style="535" customWidth="1"/>
    <col min="4103" max="4103" width="8.88671875" style="535"/>
    <col min="4104" max="4104" width="10.44140625" style="535" customWidth="1"/>
    <col min="4105" max="4356" width="8.88671875" style="535"/>
    <col min="4357" max="4357" width="10.6640625" style="535" bestFit="1" customWidth="1"/>
    <col min="4358" max="4358" width="10.6640625" style="535" customWidth="1"/>
    <col min="4359" max="4359" width="8.88671875" style="535"/>
    <col min="4360" max="4360" width="10.44140625" style="535" customWidth="1"/>
    <col min="4361" max="4612" width="8.88671875" style="535"/>
    <col min="4613" max="4613" width="10.6640625" style="535" bestFit="1" customWidth="1"/>
    <col min="4614" max="4614" width="10.6640625" style="535" customWidth="1"/>
    <col min="4615" max="4615" width="8.88671875" style="535"/>
    <col min="4616" max="4616" width="10.44140625" style="535" customWidth="1"/>
    <col min="4617" max="4868" width="8.88671875" style="535"/>
    <col min="4869" max="4869" width="10.6640625" style="535" bestFit="1" customWidth="1"/>
    <col min="4870" max="4870" width="10.6640625" style="535" customWidth="1"/>
    <col min="4871" max="4871" width="8.88671875" style="535"/>
    <col min="4872" max="4872" width="10.44140625" style="535" customWidth="1"/>
    <col min="4873" max="5124" width="8.88671875" style="535"/>
    <col min="5125" max="5125" width="10.6640625" style="535" bestFit="1" customWidth="1"/>
    <col min="5126" max="5126" width="10.6640625" style="535" customWidth="1"/>
    <col min="5127" max="5127" width="8.88671875" style="535"/>
    <col min="5128" max="5128" width="10.44140625" style="535" customWidth="1"/>
    <col min="5129" max="5380" width="8.88671875" style="535"/>
    <col min="5381" max="5381" width="10.6640625" style="535" bestFit="1" customWidth="1"/>
    <col min="5382" max="5382" width="10.6640625" style="535" customWidth="1"/>
    <col min="5383" max="5383" width="8.88671875" style="535"/>
    <col min="5384" max="5384" width="10.44140625" style="535" customWidth="1"/>
    <col min="5385" max="5636" width="8.88671875" style="535"/>
    <col min="5637" max="5637" width="10.6640625" style="535" bestFit="1" customWidth="1"/>
    <col min="5638" max="5638" width="10.6640625" style="535" customWidth="1"/>
    <col min="5639" max="5639" width="8.88671875" style="535"/>
    <col min="5640" max="5640" width="10.44140625" style="535" customWidth="1"/>
    <col min="5641" max="5892" width="8.88671875" style="535"/>
    <col min="5893" max="5893" width="10.6640625" style="535" bestFit="1" customWidth="1"/>
    <col min="5894" max="5894" width="10.6640625" style="535" customWidth="1"/>
    <col min="5895" max="5895" width="8.88671875" style="535"/>
    <col min="5896" max="5896" width="10.44140625" style="535" customWidth="1"/>
    <col min="5897" max="6148" width="8.88671875" style="535"/>
    <col min="6149" max="6149" width="10.6640625" style="535" bestFit="1" customWidth="1"/>
    <col min="6150" max="6150" width="10.6640625" style="535" customWidth="1"/>
    <col min="6151" max="6151" width="8.88671875" style="535"/>
    <col min="6152" max="6152" width="10.44140625" style="535" customWidth="1"/>
    <col min="6153" max="6404" width="8.88671875" style="535"/>
    <col min="6405" max="6405" width="10.6640625" style="535" bestFit="1" customWidth="1"/>
    <col min="6406" max="6406" width="10.6640625" style="535" customWidth="1"/>
    <col min="6407" max="6407" width="8.88671875" style="535"/>
    <col min="6408" max="6408" width="10.44140625" style="535" customWidth="1"/>
    <col min="6409" max="6660" width="8.88671875" style="535"/>
    <col min="6661" max="6661" width="10.6640625" style="535" bestFit="1" customWidth="1"/>
    <col min="6662" max="6662" width="10.6640625" style="535" customWidth="1"/>
    <col min="6663" max="6663" width="8.88671875" style="535"/>
    <col min="6664" max="6664" width="10.44140625" style="535" customWidth="1"/>
    <col min="6665" max="6916" width="8.88671875" style="535"/>
    <col min="6917" max="6917" width="10.6640625" style="535" bestFit="1" customWidth="1"/>
    <col min="6918" max="6918" width="10.6640625" style="535" customWidth="1"/>
    <col min="6919" max="6919" width="8.88671875" style="535"/>
    <col min="6920" max="6920" width="10.44140625" style="535" customWidth="1"/>
    <col min="6921" max="7172" width="8.88671875" style="535"/>
    <col min="7173" max="7173" width="10.6640625" style="535" bestFit="1" customWidth="1"/>
    <col min="7174" max="7174" width="10.6640625" style="535" customWidth="1"/>
    <col min="7175" max="7175" width="8.88671875" style="535"/>
    <col min="7176" max="7176" width="10.44140625" style="535" customWidth="1"/>
    <col min="7177" max="7428" width="8.88671875" style="535"/>
    <col min="7429" max="7429" width="10.6640625" style="535" bestFit="1" customWidth="1"/>
    <col min="7430" max="7430" width="10.6640625" style="535" customWidth="1"/>
    <col min="7431" max="7431" width="8.88671875" style="535"/>
    <col min="7432" max="7432" width="10.44140625" style="535" customWidth="1"/>
    <col min="7433" max="7684" width="8.88671875" style="535"/>
    <col min="7685" max="7685" width="10.6640625" style="535" bestFit="1" customWidth="1"/>
    <col min="7686" max="7686" width="10.6640625" style="535" customWidth="1"/>
    <col min="7687" max="7687" width="8.88671875" style="535"/>
    <col min="7688" max="7688" width="10.44140625" style="535" customWidth="1"/>
    <col min="7689" max="7940" width="8.88671875" style="535"/>
    <col min="7941" max="7941" width="10.6640625" style="535" bestFit="1" customWidth="1"/>
    <col min="7942" max="7942" width="10.6640625" style="535" customWidth="1"/>
    <col min="7943" max="7943" width="8.88671875" style="535"/>
    <col min="7944" max="7944" width="10.44140625" style="535" customWidth="1"/>
    <col min="7945" max="8196" width="8.88671875" style="535"/>
    <col min="8197" max="8197" width="10.6640625" style="535" bestFit="1" customWidth="1"/>
    <col min="8198" max="8198" width="10.6640625" style="535" customWidth="1"/>
    <col min="8199" max="8199" width="8.88671875" style="535"/>
    <col min="8200" max="8200" width="10.44140625" style="535" customWidth="1"/>
    <col min="8201" max="8452" width="8.88671875" style="535"/>
    <col min="8453" max="8453" width="10.6640625" style="535" bestFit="1" customWidth="1"/>
    <col min="8454" max="8454" width="10.6640625" style="535" customWidth="1"/>
    <col min="8455" max="8455" width="8.88671875" style="535"/>
    <col min="8456" max="8456" width="10.44140625" style="535" customWidth="1"/>
    <col min="8457" max="8708" width="8.88671875" style="535"/>
    <col min="8709" max="8709" width="10.6640625" style="535" bestFit="1" customWidth="1"/>
    <col min="8710" max="8710" width="10.6640625" style="535" customWidth="1"/>
    <col min="8711" max="8711" width="8.88671875" style="535"/>
    <col min="8712" max="8712" width="10.44140625" style="535" customWidth="1"/>
    <col min="8713" max="8964" width="8.88671875" style="535"/>
    <col min="8965" max="8965" width="10.6640625" style="535" bestFit="1" customWidth="1"/>
    <col min="8966" max="8966" width="10.6640625" style="535" customWidth="1"/>
    <col min="8967" max="8967" width="8.88671875" style="535"/>
    <col min="8968" max="8968" width="10.44140625" style="535" customWidth="1"/>
    <col min="8969" max="9220" width="8.88671875" style="535"/>
    <col min="9221" max="9221" width="10.6640625" style="535" bestFit="1" customWidth="1"/>
    <col min="9222" max="9222" width="10.6640625" style="535" customWidth="1"/>
    <col min="9223" max="9223" width="8.88671875" style="535"/>
    <col min="9224" max="9224" width="10.44140625" style="535" customWidth="1"/>
    <col min="9225" max="9476" width="8.88671875" style="535"/>
    <col min="9477" max="9477" width="10.6640625" style="535" bestFit="1" customWidth="1"/>
    <col min="9478" max="9478" width="10.6640625" style="535" customWidth="1"/>
    <col min="9479" max="9479" width="8.88671875" style="535"/>
    <col min="9480" max="9480" width="10.44140625" style="535" customWidth="1"/>
    <col min="9481" max="9732" width="8.88671875" style="535"/>
    <col min="9733" max="9733" width="10.6640625" style="535" bestFit="1" customWidth="1"/>
    <col min="9734" max="9734" width="10.6640625" style="535" customWidth="1"/>
    <col min="9735" max="9735" width="8.88671875" style="535"/>
    <col min="9736" max="9736" width="10.44140625" style="535" customWidth="1"/>
    <col min="9737" max="9988" width="8.88671875" style="535"/>
    <col min="9989" max="9989" width="10.6640625" style="535" bestFit="1" customWidth="1"/>
    <col min="9990" max="9990" width="10.6640625" style="535" customWidth="1"/>
    <col min="9991" max="9991" width="8.88671875" style="535"/>
    <col min="9992" max="9992" width="10.44140625" style="535" customWidth="1"/>
    <col min="9993" max="10244" width="8.88671875" style="535"/>
    <col min="10245" max="10245" width="10.6640625" style="535" bestFit="1" customWidth="1"/>
    <col min="10246" max="10246" width="10.6640625" style="535" customWidth="1"/>
    <col min="10247" max="10247" width="8.88671875" style="535"/>
    <col min="10248" max="10248" width="10.44140625" style="535" customWidth="1"/>
    <col min="10249" max="10500" width="8.88671875" style="535"/>
    <col min="10501" max="10501" width="10.6640625" style="535" bestFit="1" customWidth="1"/>
    <col min="10502" max="10502" width="10.6640625" style="535" customWidth="1"/>
    <col min="10503" max="10503" width="8.88671875" style="535"/>
    <col min="10504" max="10504" width="10.44140625" style="535" customWidth="1"/>
    <col min="10505" max="10756" width="8.88671875" style="535"/>
    <col min="10757" max="10757" width="10.6640625" style="535" bestFit="1" customWidth="1"/>
    <col min="10758" max="10758" width="10.6640625" style="535" customWidth="1"/>
    <col min="10759" max="10759" width="8.88671875" style="535"/>
    <col min="10760" max="10760" width="10.44140625" style="535" customWidth="1"/>
    <col min="10761" max="11012" width="8.88671875" style="535"/>
    <col min="11013" max="11013" width="10.6640625" style="535" bestFit="1" customWidth="1"/>
    <col min="11014" max="11014" width="10.6640625" style="535" customWidth="1"/>
    <col min="11015" max="11015" width="8.88671875" style="535"/>
    <col min="11016" max="11016" width="10.44140625" style="535" customWidth="1"/>
    <col min="11017" max="11268" width="8.88671875" style="535"/>
    <col min="11269" max="11269" width="10.6640625" style="535" bestFit="1" customWidth="1"/>
    <col min="11270" max="11270" width="10.6640625" style="535" customWidth="1"/>
    <col min="11271" max="11271" width="8.88671875" style="535"/>
    <col min="11272" max="11272" width="10.44140625" style="535" customWidth="1"/>
    <col min="11273" max="11524" width="8.88671875" style="535"/>
    <col min="11525" max="11525" width="10.6640625" style="535" bestFit="1" customWidth="1"/>
    <col min="11526" max="11526" width="10.6640625" style="535" customWidth="1"/>
    <col min="11527" max="11527" width="8.88671875" style="535"/>
    <col min="11528" max="11528" width="10.44140625" style="535" customWidth="1"/>
    <col min="11529" max="11780" width="8.88671875" style="535"/>
    <col min="11781" max="11781" width="10.6640625" style="535" bestFit="1" customWidth="1"/>
    <col min="11782" max="11782" width="10.6640625" style="535" customWidth="1"/>
    <col min="11783" max="11783" width="8.88671875" style="535"/>
    <col min="11784" max="11784" width="10.44140625" style="535" customWidth="1"/>
    <col min="11785" max="12036" width="8.88671875" style="535"/>
    <col min="12037" max="12037" width="10.6640625" style="535" bestFit="1" customWidth="1"/>
    <col min="12038" max="12038" width="10.6640625" style="535" customWidth="1"/>
    <col min="12039" max="12039" width="8.88671875" style="535"/>
    <col min="12040" max="12040" width="10.44140625" style="535" customWidth="1"/>
    <col min="12041" max="12292" width="8.88671875" style="535"/>
    <col min="12293" max="12293" width="10.6640625" style="535" bestFit="1" customWidth="1"/>
    <col min="12294" max="12294" width="10.6640625" style="535" customWidth="1"/>
    <col min="12295" max="12295" width="8.88671875" style="535"/>
    <col min="12296" max="12296" width="10.44140625" style="535" customWidth="1"/>
    <col min="12297" max="12548" width="8.88671875" style="535"/>
    <col min="12549" max="12549" width="10.6640625" style="535" bestFit="1" customWidth="1"/>
    <col min="12550" max="12550" width="10.6640625" style="535" customWidth="1"/>
    <col min="12551" max="12551" width="8.88671875" style="535"/>
    <col min="12552" max="12552" width="10.44140625" style="535" customWidth="1"/>
    <col min="12553" max="12804" width="8.88671875" style="535"/>
    <col min="12805" max="12805" width="10.6640625" style="535" bestFit="1" customWidth="1"/>
    <col min="12806" max="12806" width="10.6640625" style="535" customWidth="1"/>
    <col min="12807" max="12807" width="8.88671875" style="535"/>
    <col min="12808" max="12808" width="10.44140625" style="535" customWidth="1"/>
    <col min="12809" max="13060" width="8.88671875" style="535"/>
    <col min="13061" max="13061" width="10.6640625" style="535" bestFit="1" customWidth="1"/>
    <col min="13062" max="13062" width="10.6640625" style="535" customWidth="1"/>
    <col min="13063" max="13063" width="8.88671875" style="535"/>
    <col min="13064" max="13064" width="10.44140625" style="535" customWidth="1"/>
    <col min="13065" max="13316" width="8.88671875" style="535"/>
    <col min="13317" max="13317" width="10.6640625" style="535" bestFit="1" customWidth="1"/>
    <col min="13318" max="13318" width="10.6640625" style="535" customWidth="1"/>
    <col min="13319" max="13319" width="8.88671875" style="535"/>
    <col min="13320" max="13320" width="10.44140625" style="535" customWidth="1"/>
    <col min="13321" max="13572" width="8.88671875" style="535"/>
    <col min="13573" max="13573" width="10.6640625" style="535" bestFit="1" customWidth="1"/>
    <col min="13574" max="13574" width="10.6640625" style="535" customWidth="1"/>
    <col min="13575" max="13575" width="8.88671875" style="535"/>
    <col min="13576" max="13576" width="10.44140625" style="535" customWidth="1"/>
    <col min="13577" max="13828" width="8.88671875" style="535"/>
    <col min="13829" max="13829" width="10.6640625" style="535" bestFit="1" customWidth="1"/>
    <col min="13830" max="13830" width="10.6640625" style="535" customWidth="1"/>
    <col min="13831" max="13831" width="8.88671875" style="535"/>
    <col min="13832" max="13832" width="10.44140625" style="535" customWidth="1"/>
    <col min="13833" max="14084" width="8.88671875" style="535"/>
    <col min="14085" max="14085" width="10.6640625" style="535" bestFit="1" customWidth="1"/>
    <col min="14086" max="14086" width="10.6640625" style="535" customWidth="1"/>
    <col min="14087" max="14087" width="8.88671875" style="535"/>
    <col min="14088" max="14088" width="10.44140625" style="535" customWidth="1"/>
    <col min="14089" max="14340" width="8.88671875" style="535"/>
    <col min="14341" max="14341" width="10.6640625" style="535" bestFit="1" customWidth="1"/>
    <col min="14342" max="14342" width="10.6640625" style="535" customWidth="1"/>
    <col min="14343" max="14343" width="8.88671875" style="535"/>
    <col min="14344" max="14344" width="10.44140625" style="535" customWidth="1"/>
    <col min="14345" max="14596" width="8.88671875" style="535"/>
    <col min="14597" max="14597" width="10.6640625" style="535" bestFit="1" customWidth="1"/>
    <col min="14598" max="14598" width="10.6640625" style="535" customWidth="1"/>
    <col min="14599" max="14599" width="8.88671875" style="535"/>
    <col min="14600" max="14600" width="10.44140625" style="535" customWidth="1"/>
    <col min="14601" max="14852" width="8.88671875" style="535"/>
    <col min="14853" max="14853" width="10.6640625" style="535" bestFit="1" customWidth="1"/>
    <col min="14854" max="14854" width="10.6640625" style="535" customWidth="1"/>
    <col min="14855" max="14855" width="8.88671875" style="535"/>
    <col min="14856" max="14856" width="10.44140625" style="535" customWidth="1"/>
    <col min="14857" max="15108" width="8.88671875" style="535"/>
    <col min="15109" max="15109" width="10.6640625" style="535" bestFit="1" customWidth="1"/>
    <col min="15110" max="15110" width="10.6640625" style="535" customWidth="1"/>
    <col min="15111" max="15111" width="8.88671875" style="535"/>
    <col min="15112" max="15112" width="10.44140625" style="535" customWidth="1"/>
    <col min="15113" max="15364" width="8.88671875" style="535"/>
    <col min="15365" max="15365" width="10.6640625" style="535" bestFit="1" customWidth="1"/>
    <col min="15366" max="15366" width="10.6640625" style="535" customWidth="1"/>
    <col min="15367" max="15367" width="8.88671875" style="535"/>
    <col min="15368" max="15368" width="10.44140625" style="535" customWidth="1"/>
    <col min="15369" max="15620" width="8.88671875" style="535"/>
    <col min="15621" max="15621" width="10.6640625" style="535" bestFit="1" customWidth="1"/>
    <col min="15622" max="15622" width="10.6640625" style="535" customWidth="1"/>
    <col min="15623" max="15623" width="8.88671875" style="535"/>
    <col min="15624" max="15624" width="10.44140625" style="535" customWidth="1"/>
    <col min="15625" max="15876" width="8.88671875" style="535"/>
    <col min="15877" max="15877" width="10.6640625" style="535" bestFit="1" customWidth="1"/>
    <col min="15878" max="15878" width="10.6640625" style="535" customWidth="1"/>
    <col min="15879" max="15879" width="8.88671875" style="535"/>
    <col min="15880" max="15880" width="10.44140625" style="535" customWidth="1"/>
    <col min="15881" max="16132" width="8.88671875" style="535"/>
    <col min="16133" max="16133" width="10.6640625" style="535" bestFit="1" customWidth="1"/>
    <col min="16134" max="16134" width="10.6640625" style="535" customWidth="1"/>
    <col min="16135" max="16135" width="8.88671875" style="535"/>
    <col min="16136" max="16136" width="10.44140625" style="535" customWidth="1"/>
    <col min="16137" max="16384" width="8.88671875" style="535"/>
  </cols>
  <sheetData>
    <row r="1" spans="1:26" ht="36.75" customHeight="1" x14ac:dyDescent="0.25">
      <c r="A1" s="530">
        <v>1539.2</v>
      </c>
      <c r="B1" s="912" t="s">
        <v>418</v>
      </c>
      <c r="C1" s="912"/>
      <c r="D1" s="531">
        <v>0.13800000000000001</v>
      </c>
      <c r="E1" s="532" t="s">
        <v>396</v>
      </c>
      <c r="F1" s="533">
        <v>0.19400000000000001</v>
      </c>
      <c r="G1" s="534">
        <v>9100</v>
      </c>
      <c r="I1" s="535">
        <v>1</v>
      </c>
      <c r="J1" s="536">
        <f>I1+1</f>
        <v>2</v>
      </c>
      <c r="K1" s="536">
        <f t="shared" ref="K1:R1" si="0">J1+1</f>
        <v>3</v>
      </c>
      <c r="L1" s="536">
        <f t="shared" si="0"/>
        <v>4</v>
      </c>
      <c r="M1" s="536">
        <f t="shared" si="0"/>
        <v>5</v>
      </c>
      <c r="N1" s="536"/>
      <c r="O1" s="536">
        <f>M1+1</f>
        <v>6</v>
      </c>
      <c r="P1" s="536">
        <f t="shared" si="0"/>
        <v>7</v>
      </c>
      <c r="Q1" s="536">
        <f t="shared" si="0"/>
        <v>8</v>
      </c>
      <c r="R1" s="536">
        <f t="shared" si="0"/>
        <v>9</v>
      </c>
      <c r="S1" s="535" t="s">
        <v>404</v>
      </c>
    </row>
    <row r="2" spans="1:26" ht="47.25" customHeight="1" x14ac:dyDescent="0.25">
      <c r="A2" s="537" t="s">
        <v>271</v>
      </c>
      <c r="B2" s="537" t="s">
        <v>272</v>
      </c>
      <c r="C2" s="537" t="s">
        <v>419</v>
      </c>
      <c r="D2" s="537" t="s">
        <v>273</v>
      </c>
      <c r="E2" s="537" t="s">
        <v>274</v>
      </c>
      <c r="F2" s="537" t="s">
        <v>276</v>
      </c>
      <c r="G2" s="537" t="s">
        <v>397</v>
      </c>
      <c r="I2" s="537" t="s">
        <v>105</v>
      </c>
      <c r="J2" s="537" t="s">
        <v>275</v>
      </c>
      <c r="K2" s="537" t="s">
        <v>253</v>
      </c>
      <c r="L2" s="537" t="s">
        <v>254</v>
      </c>
      <c r="M2" s="537" t="s">
        <v>255</v>
      </c>
      <c r="N2" s="537" t="s">
        <v>417</v>
      </c>
      <c r="O2" s="537" t="s">
        <v>276</v>
      </c>
      <c r="P2" s="537" t="s">
        <v>277</v>
      </c>
      <c r="Q2" s="537" t="s">
        <v>278</v>
      </c>
      <c r="R2" s="537" t="s">
        <v>159</v>
      </c>
      <c r="U2" s="538" t="s">
        <v>419</v>
      </c>
      <c r="V2" s="538" t="s">
        <v>420</v>
      </c>
      <c r="W2" s="538" t="s">
        <v>421</v>
      </c>
    </row>
    <row r="3" spans="1:26" x14ac:dyDescent="0.25">
      <c r="A3" s="539">
        <v>7</v>
      </c>
      <c r="B3" s="540">
        <f t="shared" ref="B3:B41" si="1">ROUND(G3/$A$1,2)</f>
        <v>18.66</v>
      </c>
      <c r="C3" s="541">
        <v>22423</v>
      </c>
      <c r="D3" s="542">
        <f>ROUND(((C3)-$G$1)*$D$1,0)</f>
        <v>1839</v>
      </c>
      <c r="E3" s="542">
        <f>ROUND((C3*0.005),0)</f>
        <v>112</v>
      </c>
      <c r="F3" s="543">
        <f t="shared" ref="F3:F41" si="2">ROUND(C3*$F$1,2)</f>
        <v>4350.0600000000004</v>
      </c>
      <c r="G3" s="544">
        <f t="shared" ref="G3:G41" si="3">SUM(C3:F3)</f>
        <v>28724.06</v>
      </c>
      <c r="H3" s="545"/>
      <c r="I3" s="546" t="str">
        <f t="shared" ref="I3:I41" si="4">CONCATENATE($A$2&amp;" "&amp;A3)</f>
        <v>SCP 7</v>
      </c>
      <c r="J3" s="543">
        <f t="shared" ref="J3:J41" si="5">ROUND($A$1/7.4,0)</f>
        <v>208</v>
      </c>
      <c r="K3" s="547">
        <f t="shared" ref="K3:K41" si="6">ROUND(B3*2,2)</f>
        <v>37.32</v>
      </c>
      <c r="L3" s="547">
        <f t="shared" ref="L3:L41" si="7">ROUND($B3*1.5,2)</f>
        <v>27.99</v>
      </c>
      <c r="M3" s="548">
        <f t="shared" ref="M3:M41" si="8">L3</f>
        <v>27.99</v>
      </c>
      <c r="N3" s="548">
        <f t="shared" ref="N3:N41" si="9">M3</f>
        <v>27.99</v>
      </c>
      <c r="O3" s="536">
        <f>ROUND(C3*19.4%,2)</f>
        <v>4350.0600000000004</v>
      </c>
      <c r="P3" s="549">
        <f>ROUND(O3+C3,0)</f>
        <v>26773</v>
      </c>
      <c r="Q3" s="536">
        <f t="shared" ref="Q3:Q41" si="10">ROUND(P3/J3,0)</f>
        <v>129</v>
      </c>
      <c r="R3" s="536">
        <f>ROUND((C3+D3)/J3,0)</f>
        <v>117</v>
      </c>
      <c r="T3" s="550"/>
      <c r="U3" s="551">
        <f>VLOOKUP(A3,'[1]PSC Pay award 2022-23'!$A$2:$K$40,11,FALSE)</f>
        <v>20358</v>
      </c>
      <c r="V3" s="541">
        <v>18362.400000000001</v>
      </c>
      <c r="W3" s="541">
        <v>17958.34</v>
      </c>
      <c r="X3" s="552"/>
      <c r="Z3" s="553"/>
    </row>
    <row r="4" spans="1:26" x14ac:dyDescent="0.25">
      <c r="A4" s="554">
        <v>8</v>
      </c>
      <c r="B4" s="555">
        <f t="shared" si="1"/>
        <v>18.78</v>
      </c>
      <c r="C4" s="556">
        <v>22554</v>
      </c>
      <c r="D4" s="557">
        <f t="shared" ref="D4:D41" si="11">ROUND(((C4)-$G$1)*$D$1,0)</f>
        <v>1857</v>
      </c>
      <c r="E4" s="558">
        <f t="shared" ref="E4:E41" si="12">ROUND((C4*0.005),0)</f>
        <v>113</v>
      </c>
      <c r="F4" s="536">
        <f t="shared" si="2"/>
        <v>4375.4799999999996</v>
      </c>
      <c r="G4" s="549">
        <f t="shared" si="3"/>
        <v>28899.48</v>
      </c>
      <c r="I4" s="535" t="str">
        <f t="shared" si="4"/>
        <v>SCP 8</v>
      </c>
      <c r="J4" s="536">
        <f t="shared" si="5"/>
        <v>208</v>
      </c>
      <c r="K4" s="559">
        <f t="shared" si="6"/>
        <v>37.56</v>
      </c>
      <c r="L4" s="559">
        <f t="shared" si="7"/>
        <v>28.17</v>
      </c>
      <c r="M4" s="560">
        <f t="shared" si="8"/>
        <v>28.17</v>
      </c>
      <c r="N4" s="560">
        <f t="shared" si="9"/>
        <v>28.17</v>
      </c>
      <c r="O4" s="536">
        <f t="shared" ref="O4:O41" si="13">ROUND(C4*19.4%,2)</f>
        <v>4375.4799999999996</v>
      </c>
      <c r="P4" s="549">
        <f t="shared" ref="P4:P41" si="14">ROUND(O4+C4,0)</f>
        <v>26929</v>
      </c>
      <c r="Q4" s="536">
        <f t="shared" si="10"/>
        <v>129</v>
      </c>
      <c r="R4" s="536">
        <f t="shared" ref="R4:R41" si="15">ROUND((C4+D4)/J4,0)</f>
        <v>117</v>
      </c>
      <c r="T4" s="550"/>
      <c r="U4" s="561">
        <f>VLOOKUP(A4,'[1]PSC Pay award 2022-23'!$A$2:$K$40,11,FALSE)</f>
        <v>20489</v>
      </c>
      <c r="V4" s="556">
        <v>18799.63</v>
      </c>
      <c r="W4" s="556">
        <v>18385.95</v>
      </c>
      <c r="X4" s="552"/>
      <c r="Z4" s="553"/>
    </row>
    <row r="5" spans="1:26" s="545" customFormat="1" x14ac:dyDescent="0.25">
      <c r="A5" s="562">
        <v>9</v>
      </c>
      <c r="B5" s="563">
        <f t="shared" si="1"/>
        <v>19.16</v>
      </c>
      <c r="C5" s="556">
        <v>23002</v>
      </c>
      <c r="D5" s="557">
        <f t="shared" si="11"/>
        <v>1918</v>
      </c>
      <c r="E5" s="558">
        <f t="shared" si="12"/>
        <v>115</v>
      </c>
      <c r="F5" s="564">
        <f t="shared" si="2"/>
        <v>4462.3900000000003</v>
      </c>
      <c r="G5" s="565">
        <f t="shared" si="3"/>
        <v>29497.39</v>
      </c>
      <c r="I5" s="545" t="str">
        <f t="shared" si="4"/>
        <v>SCP 9</v>
      </c>
      <c r="J5" s="536">
        <f t="shared" si="5"/>
        <v>208</v>
      </c>
      <c r="K5" s="559">
        <f t="shared" si="6"/>
        <v>38.32</v>
      </c>
      <c r="L5" s="559">
        <f t="shared" si="7"/>
        <v>28.74</v>
      </c>
      <c r="M5" s="560">
        <f t="shared" si="8"/>
        <v>28.74</v>
      </c>
      <c r="N5" s="560">
        <f t="shared" si="9"/>
        <v>28.74</v>
      </c>
      <c r="O5" s="564">
        <f t="shared" si="13"/>
        <v>4462.3900000000003</v>
      </c>
      <c r="P5" s="565">
        <f t="shared" si="14"/>
        <v>27464</v>
      </c>
      <c r="Q5" s="564">
        <f t="shared" si="10"/>
        <v>132</v>
      </c>
      <c r="R5" s="564">
        <f t="shared" si="15"/>
        <v>120</v>
      </c>
      <c r="T5" s="566"/>
      <c r="U5" s="561">
        <f>VLOOKUP(A5,'[1]PSC Pay award 2022-23'!$A$2:$K$40,11,FALSE)</f>
        <v>20935</v>
      </c>
      <c r="V5" s="556">
        <v>19227.28</v>
      </c>
      <c r="W5" s="556">
        <v>18804.189999999999</v>
      </c>
      <c r="X5" s="552"/>
      <c r="Z5" s="567"/>
    </row>
    <row r="6" spans="1:26" x14ac:dyDescent="0.25">
      <c r="A6" s="554">
        <v>10</v>
      </c>
      <c r="B6" s="555">
        <f t="shared" si="1"/>
        <v>19.559999999999999</v>
      </c>
      <c r="C6" s="556">
        <v>23458</v>
      </c>
      <c r="D6" s="557">
        <f t="shared" si="11"/>
        <v>1981</v>
      </c>
      <c r="E6" s="558">
        <f t="shared" si="12"/>
        <v>117</v>
      </c>
      <c r="F6" s="536">
        <f t="shared" si="2"/>
        <v>4550.8500000000004</v>
      </c>
      <c r="G6" s="549">
        <f t="shared" si="3"/>
        <v>30106.85</v>
      </c>
      <c r="I6" s="535" t="str">
        <f t="shared" si="4"/>
        <v>SCP 10</v>
      </c>
      <c r="J6" s="536">
        <f t="shared" si="5"/>
        <v>208</v>
      </c>
      <c r="K6" s="559">
        <f t="shared" si="6"/>
        <v>39.119999999999997</v>
      </c>
      <c r="L6" s="559">
        <f t="shared" si="7"/>
        <v>29.34</v>
      </c>
      <c r="M6" s="560">
        <f t="shared" si="8"/>
        <v>29.34</v>
      </c>
      <c r="N6" s="560">
        <f t="shared" si="9"/>
        <v>29.34</v>
      </c>
      <c r="O6" s="536">
        <f t="shared" si="13"/>
        <v>4550.8500000000004</v>
      </c>
      <c r="P6" s="549">
        <f t="shared" si="14"/>
        <v>28009</v>
      </c>
      <c r="Q6" s="536">
        <f t="shared" si="10"/>
        <v>135</v>
      </c>
      <c r="R6" s="536">
        <f t="shared" si="15"/>
        <v>122</v>
      </c>
      <c r="T6" s="550"/>
      <c r="U6" s="561">
        <f>VLOOKUP(A6,'[1]PSC Pay award 2022-23'!$A$2:$K$40,11,FALSE)</f>
        <v>21391</v>
      </c>
      <c r="V6" s="556">
        <v>19664.509999999998</v>
      </c>
      <c r="W6" s="556">
        <v>19231.79</v>
      </c>
      <c r="X6" s="552"/>
      <c r="Z6" s="553"/>
    </row>
    <row r="7" spans="1:26" x14ac:dyDescent="0.25">
      <c r="A7" s="554">
        <v>11</v>
      </c>
      <c r="B7" s="555">
        <f t="shared" si="1"/>
        <v>19.940000000000001</v>
      </c>
      <c r="C7" s="556">
        <v>23900</v>
      </c>
      <c r="D7" s="557">
        <f t="shared" si="11"/>
        <v>2042</v>
      </c>
      <c r="E7" s="558">
        <f t="shared" si="12"/>
        <v>120</v>
      </c>
      <c r="F7" s="536">
        <f t="shared" si="2"/>
        <v>4636.6000000000004</v>
      </c>
      <c r="G7" s="549">
        <f t="shared" si="3"/>
        <v>30698.6</v>
      </c>
      <c r="I7" s="535" t="str">
        <f t="shared" si="4"/>
        <v>SCP 11</v>
      </c>
      <c r="J7" s="536">
        <f t="shared" si="5"/>
        <v>208</v>
      </c>
      <c r="K7" s="559">
        <f t="shared" si="6"/>
        <v>39.880000000000003</v>
      </c>
      <c r="L7" s="559">
        <f t="shared" si="7"/>
        <v>29.91</v>
      </c>
      <c r="M7" s="560">
        <f t="shared" si="8"/>
        <v>29.91</v>
      </c>
      <c r="N7" s="560">
        <f t="shared" si="9"/>
        <v>29.91</v>
      </c>
      <c r="O7" s="536">
        <f t="shared" si="13"/>
        <v>4636.6000000000004</v>
      </c>
      <c r="P7" s="549">
        <f t="shared" si="14"/>
        <v>28537</v>
      </c>
      <c r="Q7" s="536">
        <f t="shared" si="10"/>
        <v>137</v>
      </c>
      <c r="R7" s="536">
        <f t="shared" si="15"/>
        <v>125</v>
      </c>
      <c r="T7" s="550"/>
      <c r="U7" s="561">
        <f>VLOOKUP(A7,'[1]PSC Pay award 2022-23'!$A$2:$K$40,11,FALSE)</f>
        <v>21834</v>
      </c>
      <c r="V7" s="556">
        <v>20084.71</v>
      </c>
      <c r="W7" s="556">
        <v>19642.75</v>
      </c>
      <c r="X7" s="552"/>
      <c r="Z7" s="553"/>
    </row>
    <row r="8" spans="1:26" x14ac:dyDescent="0.25">
      <c r="A8" s="554">
        <v>12</v>
      </c>
      <c r="B8" s="555">
        <f t="shared" si="1"/>
        <v>20.34</v>
      </c>
      <c r="C8" s="556">
        <v>24350</v>
      </c>
      <c r="D8" s="557">
        <f t="shared" si="11"/>
        <v>2105</v>
      </c>
      <c r="E8" s="558">
        <f t="shared" si="12"/>
        <v>122</v>
      </c>
      <c r="F8" s="536">
        <f t="shared" si="2"/>
        <v>4723.8999999999996</v>
      </c>
      <c r="G8" s="549">
        <f t="shared" si="3"/>
        <v>31300.9</v>
      </c>
      <c r="I8" s="535" t="str">
        <f t="shared" si="4"/>
        <v>SCP 12</v>
      </c>
      <c r="J8" s="536">
        <f t="shared" si="5"/>
        <v>208</v>
      </c>
      <c r="K8" s="559">
        <f t="shared" si="6"/>
        <v>40.68</v>
      </c>
      <c r="L8" s="559">
        <f t="shared" si="7"/>
        <v>30.51</v>
      </c>
      <c r="M8" s="560">
        <f t="shared" si="8"/>
        <v>30.51</v>
      </c>
      <c r="N8" s="560">
        <f t="shared" si="9"/>
        <v>30.51</v>
      </c>
      <c r="O8" s="536">
        <f t="shared" si="13"/>
        <v>4723.8999999999996</v>
      </c>
      <c r="P8" s="549">
        <f t="shared" si="14"/>
        <v>29074</v>
      </c>
      <c r="Q8" s="536">
        <f t="shared" si="10"/>
        <v>140</v>
      </c>
      <c r="R8" s="536">
        <f t="shared" si="15"/>
        <v>127</v>
      </c>
      <c r="T8" s="550"/>
      <c r="U8" s="561">
        <f>VLOOKUP(A8,'[1]PSC Pay award 2022-23'!$A$2:$K$40,11,FALSE)</f>
        <v>22283</v>
      </c>
      <c r="V8" s="556">
        <v>20515.55</v>
      </c>
      <c r="W8" s="556">
        <v>20064.11</v>
      </c>
      <c r="X8" s="552"/>
      <c r="Z8" s="553"/>
    </row>
    <row r="9" spans="1:26" x14ac:dyDescent="0.25">
      <c r="A9" s="554">
        <v>13</v>
      </c>
      <c r="B9" s="555">
        <f t="shared" si="1"/>
        <v>20.74</v>
      </c>
      <c r="C9" s="556">
        <v>24819</v>
      </c>
      <c r="D9" s="557">
        <f t="shared" si="11"/>
        <v>2169</v>
      </c>
      <c r="E9" s="558">
        <f t="shared" si="12"/>
        <v>124</v>
      </c>
      <c r="F9" s="536">
        <f t="shared" si="2"/>
        <v>4814.8900000000003</v>
      </c>
      <c r="G9" s="549">
        <f t="shared" si="3"/>
        <v>31926.89</v>
      </c>
      <c r="I9" s="535" t="str">
        <f t="shared" si="4"/>
        <v>SCP 13</v>
      </c>
      <c r="J9" s="536">
        <f t="shared" si="5"/>
        <v>208</v>
      </c>
      <c r="K9" s="559">
        <f t="shared" si="6"/>
        <v>41.48</v>
      </c>
      <c r="L9" s="559">
        <f t="shared" si="7"/>
        <v>31.11</v>
      </c>
      <c r="M9" s="560">
        <f t="shared" si="8"/>
        <v>31.11</v>
      </c>
      <c r="N9" s="560">
        <f t="shared" si="9"/>
        <v>31.11</v>
      </c>
      <c r="O9" s="536">
        <f t="shared" si="13"/>
        <v>4814.8900000000003</v>
      </c>
      <c r="P9" s="549">
        <f t="shared" si="14"/>
        <v>29634</v>
      </c>
      <c r="Q9" s="536">
        <f t="shared" si="10"/>
        <v>142</v>
      </c>
      <c r="R9" s="536">
        <f t="shared" si="15"/>
        <v>130</v>
      </c>
      <c r="T9" s="550"/>
      <c r="U9" s="561">
        <f>VLOOKUP(A9,'[1]PSC Pay award 2022-23'!$A$2:$K$40,11,FALSE)</f>
        <v>22752</v>
      </c>
      <c r="V9" s="556">
        <v>20960.23</v>
      </c>
      <c r="W9" s="556">
        <v>20499</v>
      </c>
      <c r="X9" s="552"/>
      <c r="Z9" s="553"/>
    </row>
    <row r="10" spans="1:26" x14ac:dyDescent="0.25">
      <c r="A10" s="554">
        <v>14</v>
      </c>
      <c r="B10" s="555">
        <f t="shared" si="1"/>
        <v>21.15</v>
      </c>
      <c r="C10" s="556">
        <v>25284</v>
      </c>
      <c r="D10" s="557">
        <f t="shared" si="11"/>
        <v>2233</v>
      </c>
      <c r="E10" s="558">
        <f t="shared" si="12"/>
        <v>126</v>
      </c>
      <c r="F10" s="536">
        <f t="shared" si="2"/>
        <v>4905.1000000000004</v>
      </c>
      <c r="G10" s="549">
        <f t="shared" si="3"/>
        <v>32548.1</v>
      </c>
      <c r="I10" s="535" t="str">
        <f t="shared" si="4"/>
        <v>SCP 14</v>
      </c>
      <c r="J10" s="536">
        <f t="shared" si="5"/>
        <v>208</v>
      </c>
      <c r="K10" s="559">
        <f t="shared" si="6"/>
        <v>42.3</v>
      </c>
      <c r="L10" s="559">
        <f t="shared" si="7"/>
        <v>31.73</v>
      </c>
      <c r="M10" s="560">
        <f t="shared" si="8"/>
        <v>31.73</v>
      </c>
      <c r="N10" s="560">
        <f t="shared" si="9"/>
        <v>31.73</v>
      </c>
      <c r="O10" s="536">
        <f t="shared" si="13"/>
        <v>4905.1000000000004</v>
      </c>
      <c r="P10" s="549">
        <f t="shared" si="14"/>
        <v>30189</v>
      </c>
      <c r="Q10" s="536">
        <f t="shared" si="10"/>
        <v>145</v>
      </c>
      <c r="R10" s="536">
        <f t="shared" si="15"/>
        <v>132</v>
      </c>
      <c r="T10" s="550"/>
      <c r="U10" s="561">
        <f>VLOOKUP(A10,'[1]PSC Pay award 2022-23'!$A$2:$K$40,11,FALSE)</f>
        <v>23218</v>
      </c>
      <c r="V10" s="556">
        <v>21394.26</v>
      </c>
      <c r="W10" s="556">
        <v>20923.48</v>
      </c>
      <c r="X10" s="552"/>
      <c r="Z10" s="553"/>
    </row>
    <row r="11" spans="1:26" x14ac:dyDescent="0.25">
      <c r="A11" s="554">
        <v>15</v>
      </c>
      <c r="B11" s="555">
        <f t="shared" si="1"/>
        <v>21.84</v>
      </c>
      <c r="C11" s="556">
        <v>26088</v>
      </c>
      <c r="D11" s="557">
        <f t="shared" si="11"/>
        <v>2344</v>
      </c>
      <c r="E11" s="558">
        <f t="shared" si="12"/>
        <v>130</v>
      </c>
      <c r="F11" s="536">
        <f t="shared" si="2"/>
        <v>5061.07</v>
      </c>
      <c r="G11" s="549">
        <f t="shared" si="3"/>
        <v>33623.07</v>
      </c>
      <c r="I11" s="535" t="str">
        <f t="shared" si="4"/>
        <v>SCP 15</v>
      </c>
      <c r="J11" s="536">
        <f t="shared" si="5"/>
        <v>208</v>
      </c>
      <c r="K11" s="559">
        <f t="shared" si="6"/>
        <v>43.68</v>
      </c>
      <c r="L11" s="559">
        <f t="shared" si="7"/>
        <v>32.76</v>
      </c>
      <c r="M11" s="560">
        <f t="shared" si="8"/>
        <v>32.76</v>
      </c>
      <c r="N11" s="560">
        <f t="shared" si="9"/>
        <v>32.76</v>
      </c>
      <c r="O11" s="536">
        <f t="shared" si="13"/>
        <v>5061.07</v>
      </c>
      <c r="P11" s="549">
        <f t="shared" si="14"/>
        <v>31149</v>
      </c>
      <c r="Q11" s="536">
        <f t="shared" si="10"/>
        <v>150</v>
      </c>
      <c r="R11" s="536">
        <f t="shared" si="15"/>
        <v>137</v>
      </c>
      <c r="T11" s="550"/>
      <c r="U11" s="561">
        <f>VLOOKUP(A11,'[1]PSC Pay award 2022-23'!$A$2:$K$40,11,FALSE)</f>
        <v>24022</v>
      </c>
      <c r="V11" s="556">
        <v>22143.19</v>
      </c>
      <c r="W11" s="556">
        <v>21655.93</v>
      </c>
      <c r="X11" s="552"/>
      <c r="Z11" s="553"/>
    </row>
    <row r="12" spans="1:26" x14ac:dyDescent="0.25">
      <c r="A12" s="554">
        <v>16</v>
      </c>
      <c r="B12" s="555">
        <f t="shared" si="1"/>
        <v>22.53</v>
      </c>
      <c r="C12" s="556">
        <v>26873</v>
      </c>
      <c r="D12" s="557">
        <f t="shared" si="11"/>
        <v>2453</v>
      </c>
      <c r="E12" s="558">
        <f t="shared" si="12"/>
        <v>134</v>
      </c>
      <c r="F12" s="536">
        <f t="shared" si="2"/>
        <v>5213.3599999999997</v>
      </c>
      <c r="G12" s="549">
        <f t="shared" si="3"/>
        <v>34673.360000000001</v>
      </c>
      <c r="I12" s="535" t="str">
        <f t="shared" si="4"/>
        <v>SCP 16</v>
      </c>
      <c r="J12" s="536">
        <f t="shared" si="5"/>
        <v>208</v>
      </c>
      <c r="K12" s="559">
        <f t="shared" si="6"/>
        <v>45.06</v>
      </c>
      <c r="L12" s="559">
        <f t="shared" si="7"/>
        <v>33.799999999999997</v>
      </c>
      <c r="M12" s="560">
        <f t="shared" si="8"/>
        <v>33.799999999999997</v>
      </c>
      <c r="N12" s="560">
        <f t="shared" si="9"/>
        <v>33.799999999999997</v>
      </c>
      <c r="O12" s="536">
        <f t="shared" si="13"/>
        <v>5213.3599999999997</v>
      </c>
      <c r="P12" s="549">
        <f t="shared" si="14"/>
        <v>32086</v>
      </c>
      <c r="Q12" s="536">
        <f t="shared" si="10"/>
        <v>154</v>
      </c>
      <c r="R12" s="536">
        <f t="shared" si="15"/>
        <v>141</v>
      </c>
      <c r="T12" s="550"/>
      <c r="U12" s="561">
        <f>VLOOKUP(A12,'[1]PSC Pay award 2022-23'!$A$2:$K$40,11,FALSE)</f>
        <v>24807</v>
      </c>
      <c r="V12" s="556">
        <v>22876.15</v>
      </c>
      <c r="W12" s="556">
        <v>22372.76</v>
      </c>
      <c r="X12" s="552"/>
      <c r="Z12" s="553"/>
    </row>
    <row r="13" spans="1:26" x14ac:dyDescent="0.25">
      <c r="A13" s="539">
        <v>17</v>
      </c>
      <c r="B13" s="540">
        <f t="shared" si="1"/>
        <v>23.29</v>
      </c>
      <c r="C13" s="541">
        <v>27750</v>
      </c>
      <c r="D13" s="542">
        <f t="shared" si="11"/>
        <v>2574</v>
      </c>
      <c r="E13" s="542">
        <f t="shared" si="12"/>
        <v>139</v>
      </c>
      <c r="F13" s="543">
        <f t="shared" si="2"/>
        <v>5383.5</v>
      </c>
      <c r="G13" s="544">
        <f t="shared" si="3"/>
        <v>35846.5</v>
      </c>
      <c r="H13" s="545"/>
      <c r="I13" s="546" t="str">
        <f t="shared" si="4"/>
        <v>SCP 17</v>
      </c>
      <c r="J13" s="543">
        <f t="shared" si="5"/>
        <v>208</v>
      </c>
      <c r="K13" s="547">
        <f t="shared" si="6"/>
        <v>46.58</v>
      </c>
      <c r="L13" s="547">
        <f t="shared" si="7"/>
        <v>34.94</v>
      </c>
      <c r="M13" s="548">
        <f t="shared" si="8"/>
        <v>34.94</v>
      </c>
      <c r="N13" s="548">
        <f t="shared" si="9"/>
        <v>34.94</v>
      </c>
      <c r="O13" s="536">
        <f t="shared" si="13"/>
        <v>5383.5</v>
      </c>
      <c r="P13" s="549">
        <f t="shared" si="14"/>
        <v>33134</v>
      </c>
      <c r="Q13" s="536">
        <f t="shared" si="10"/>
        <v>159</v>
      </c>
      <c r="R13" s="536">
        <f t="shared" si="15"/>
        <v>146</v>
      </c>
      <c r="T13" s="550"/>
      <c r="U13" s="551">
        <f>VLOOKUP(A13,'[1]PSC Pay award 2022-23'!$A$2:$K$40,11,FALSE)</f>
        <v>25683</v>
      </c>
      <c r="V13" s="541">
        <v>23695.29</v>
      </c>
      <c r="W13" s="541">
        <v>23173.88</v>
      </c>
      <c r="X13" s="552"/>
      <c r="Z13" s="553"/>
    </row>
    <row r="14" spans="1:26" x14ac:dyDescent="0.25">
      <c r="A14" s="554">
        <v>18</v>
      </c>
      <c r="B14" s="555">
        <f t="shared" si="1"/>
        <v>23.67</v>
      </c>
      <c r="C14" s="556">
        <v>28194</v>
      </c>
      <c r="D14" s="557">
        <f t="shared" si="11"/>
        <v>2635</v>
      </c>
      <c r="E14" s="558">
        <f t="shared" si="12"/>
        <v>141</v>
      </c>
      <c r="F14" s="536">
        <f t="shared" si="2"/>
        <v>5469.64</v>
      </c>
      <c r="G14" s="549">
        <f t="shared" si="3"/>
        <v>36439.64</v>
      </c>
      <c r="I14" s="535" t="str">
        <f t="shared" si="4"/>
        <v>SCP 18</v>
      </c>
      <c r="J14" s="536">
        <f t="shared" si="5"/>
        <v>208</v>
      </c>
      <c r="K14" s="559">
        <f t="shared" si="6"/>
        <v>47.34</v>
      </c>
      <c r="L14" s="559">
        <f t="shared" si="7"/>
        <v>35.51</v>
      </c>
      <c r="M14" s="560">
        <f t="shared" si="8"/>
        <v>35.51</v>
      </c>
      <c r="N14" s="560">
        <f t="shared" si="9"/>
        <v>35.51</v>
      </c>
      <c r="O14" s="536">
        <f t="shared" si="13"/>
        <v>5469.64</v>
      </c>
      <c r="P14" s="549">
        <f t="shared" si="14"/>
        <v>33664</v>
      </c>
      <c r="Q14" s="536">
        <f t="shared" si="10"/>
        <v>162</v>
      </c>
      <c r="R14" s="536">
        <f t="shared" si="15"/>
        <v>148</v>
      </c>
      <c r="T14" s="550"/>
      <c r="U14" s="561">
        <f>VLOOKUP(A14,'[1]PSC Pay award 2022-23'!$A$2:$K$40,11,FALSE)</f>
        <v>26129</v>
      </c>
      <c r="V14" s="556">
        <v>24109.11</v>
      </c>
      <c r="W14" s="556">
        <v>23578.59</v>
      </c>
      <c r="X14" s="552"/>
      <c r="Z14" s="553"/>
    </row>
    <row r="15" spans="1:26" s="545" customFormat="1" x14ac:dyDescent="0.25">
      <c r="A15" s="562">
        <v>19</v>
      </c>
      <c r="B15" s="563">
        <f t="shared" si="1"/>
        <v>24.13</v>
      </c>
      <c r="C15" s="556">
        <v>28715</v>
      </c>
      <c r="D15" s="557">
        <f t="shared" si="11"/>
        <v>2707</v>
      </c>
      <c r="E15" s="558">
        <f t="shared" si="12"/>
        <v>144</v>
      </c>
      <c r="F15" s="564">
        <f t="shared" si="2"/>
        <v>5570.71</v>
      </c>
      <c r="G15" s="565">
        <f t="shared" si="3"/>
        <v>37136.71</v>
      </c>
      <c r="I15" s="545" t="str">
        <f t="shared" si="4"/>
        <v>SCP 19</v>
      </c>
      <c r="J15" s="536">
        <f t="shared" si="5"/>
        <v>208</v>
      </c>
      <c r="K15" s="559">
        <f t="shared" si="6"/>
        <v>48.26</v>
      </c>
      <c r="L15" s="559">
        <f t="shared" si="7"/>
        <v>36.200000000000003</v>
      </c>
      <c r="M15" s="560">
        <f t="shared" si="8"/>
        <v>36.200000000000003</v>
      </c>
      <c r="N15" s="560">
        <f t="shared" si="9"/>
        <v>36.200000000000003</v>
      </c>
      <c r="O15" s="564">
        <f t="shared" si="13"/>
        <v>5570.71</v>
      </c>
      <c r="P15" s="565">
        <f t="shared" si="14"/>
        <v>34286</v>
      </c>
      <c r="Q15" s="564">
        <f t="shared" si="10"/>
        <v>165</v>
      </c>
      <c r="R15" s="564">
        <f t="shared" si="15"/>
        <v>151</v>
      </c>
      <c r="T15" s="566"/>
      <c r="U15" s="561">
        <f>VLOOKUP(A15,'[1]PSC Pay award 2022-23'!$A$2:$K$40,11,FALSE)</f>
        <v>26647</v>
      </c>
      <c r="V15" s="556">
        <v>24849.51</v>
      </c>
      <c r="W15" s="556">
        <v>24302.7</v>
      </c>
      <c r="X15" s="552"/>
      <c r="Z15" s="567"/>
    </row>
    <row r="16" spans="1:26" x14ac:dyDescent="0.25">
      <c r="A16" s="554">
        <v>20</v>
      </c>
      <c r="B16" s="555">
        <f t="shared" si="1"/>
        <v>24.82</v>
      </c>
      <c r="C16" s="556">
        <v>29509</v>
      </c>
      <c r="D16" s="557">
        <f t="shared" si="11"/>
        <v>2816</v>
      </c>
      <c r="E16" s="558">
        <f t="shared" si="12"/>
        <v>148</v>
      </c>
      <c r="F16" s="536">
        <f t="shared" si="2"/>
        <v>5724.75</v>
      </c>
      <c r="G16" s="549">
        <f t="shared" si="3"/>
        <v>38197.75</v>
      </c>
      <c r="I16" s="535" t="str">
        <f t="shared" si="4"/>
        <v>SCP 20</v>
      </c>
      <c r="J16" s="536">
        <f t="shared" si="5"/>
        <v>208</v>
      </c>
      <c r="K16" s="559">
        <f t="shared" si="6"/>
        <v>49.64</v>
      </c>
      <c r="L16" s="559">
        <f t="shared" si="7"/>
        <v>37.229999999999997</v>
      </c>
      <c r="M16" s="560">
        <f t="shared" si="8"/>
        <v>37.229999999999997</v>
      </c>
      <c r="N16" s="560">
        <f t="shared" si="9"/>
        <v>37.229999999999997</v>
      </c>
      <c r="O16" s="536">
        <f t="shared" si="13"/>
        <v>5724.75</v>
      </c>
      <c r="P16" s="549">
        <f t="shared" si="14"/>
        <v>35234</v>
      </c>
      <c r="Q16" s="536">
        <f t="shared" si="10"/>
        <v>169</v>
      </c>
      <c r="R16" s="536">
        <f t="shared" si="15"/>
        <v>155</v>
      </c>
      <c r="T16" s="550"/>
      <c r="U16" s="561">
        <f>VLOOKUP(A16,'[1]PSC Pay award 2022-23'!$A$2:$K$40,11,FALSE)</f>
        <v>27442</v>
      </c>
      <c r="V16" s="556">
        <v>25588.86</v>
      </c>
      <c r="W16" s="556">
        <v>25025.78</v>
      </c>
      <c r="X16" s="552"/>
      <c r="Z16" s="553"/>
    </row>
    <row r="17" spans="1:26" x14ac:dyDescent="0.25">
      <c r="A17" s="554">
        <v>21</v>
      </c>
      <c r="B17" s="555">
        <f t="shared" si="1"/>
        <v>25.51</v>
      </c>
      <c r="C17" s="556">
        <v>30310</v>
      </c>
      <c r="D17" s="557">
        <f t="shared" si="11"/>
        <v>2927</v>
      </c>
      <c r="E17" s="558">
        <f t="shared" si="12"/>
        <v>152</v>
      </c>
      <c r="F17" s="536">
        <f t="shared" si="2"/>
        <v>5880.14</v>
      </c>
      <c r="G17" s="549">
        <f t="shared" si="3"/>
        <v>39269.14</v>
      </c>
      <c r="I17" s="535" t="str">
        <f t="shared" si="4"/>
        <v>SCP 21</v>
      </c>
      <c r="J17" s="536">
        <f t="shared" si="5"/>
        <v>208</v>
      </c>
      <c r="K17" s="559">
        <f t="shared" si="6"/>
        <v>51.02</v>
      </c>
      <c r="L17" s="559">
        <f t="shared" si="7"/>
        <v>38.270000000000003</v>
      </c>
      <c r="M17" s="560">
        <f t="shared" si="8"/>
        <v>38.270000000000003</v>
      </c>
      <c r="N17" s="560">
        <f t="shared" si="9"/>
        <v>38.270000000000003</v>
      </c>
      <c r="O17" s="536">
        <f t="shared" si="13"/>
        <v>5880.14</v>
      </c>
      <c r="P17" s="549">
        <f t="shared" si="14"/>
        <v>36190</v>
      </c>
      <c r="Q17" s="536">
        <f t="shared" si="10"/>
        <v>174</v>
      </c>
      <c r="R17" s="536">
        <f t="shared" si="15"/>
        <v>160</v>
      </c>
      <c r="T17" s="550"/>
      <c r="U17" s="561">
        <f>VLOOKUP(A17,'[1]PSC Pay award 2022-23'!$A$2:$K$40,11,FALSE)</f>
        <v>28243</v>
      </c>
      <c r="V17" s="556">
        <v>26335.65</v>
      </c>
      <c r="W17" s="556">
        <v>25756.14</v>
      </c>
      <c r="X17" s="552"/>
      <c r="Z17" s="553"/>
    </row>
    <row r="18" spans="1:26" x14ac:dyDescent="0.25">
      <c r="A18" s="554">
        <v>22</v>
      </c>
      <c r="B18" s="555">
        <f t="shared" si="1"/>
        <v>26.31</v>
      </c>
      <c r="C18" s="556">
        <v>31232</v>
      </c>
      <c r="D18" s="557">
        <f t="shared" si="11"/>
        <v>3054</v>
      </c>
      <c r="E18" s="558">
        <f t="shared" si="12"/>
        <v>156</v>
      </c>
      <c r="F18" s="536">
        <f t="shared" si="2"/>
        <v>6059.01</v>
      </c>
      <c r="G18" s="549">
        <f t="shared" si="3"/>
        <v>40501.01</v>
      </c>
      <c r="I18" s="535" t="str">
        <f t="shared" si="4"/>
        <v>SCP 22</v>
      </c>
      <c r="J18" s="536">
        <f t="shared" si="5"/>
        <v>208</v>
      </c>
      <c r="K18" s="559">
        <f t="shared" si="6"/>
        <v>52.62</v>
      </c>
      <c r="L18" s="559">
        <f t="shared" si="7"/>
        <v>39.47</v>
      </c>
      <c r="M18" s="560">
        <f t="shared" si="8"/>
        <v>39.47</v>
      </c>
      <c r="N18" s="560">
        <f t="shared" si="9"/>
        <v>39.47</v>
      </c>
      <c r="O18" s="536">
        <f t="shared" si="13"/>
        <v>6059.01</v>
      </c>
      <c r="P18" s="549">
        <f t="shared" si="14"/>
        <v>37291</v>
      </c>
      <c r="Q18" s="536">
        <f t="shared" si="10"/>
        <v>179</v>
      </c>
      <c r="R18" s="536">
        <f t="shared" si="15"/>
        <v>165</v>
      </c>
      <c r="T18" s="550"/>
      <c r="U18" s="561">
        <f>VLOOKUP(A18,'[1]PSC Pay award 2022-23'!$A$2:$K$40,11,FALSE)</f>
        <v>29165</v>
      </c>
      <c r="V18" s="556">
        <v>27193.08</v>
      </c>
      <c r="W18" s="556">
        <v>26594.7</v>
      </c>
      <c r="X18" s="552"/>
      <c r="Z18" s="553"/>
    </row>
    <row r="19" spans="1:26" x14ac:dyDescent="0.25">
      <c r="A19" s="554">
        <v>23</v>
      </c>
      <c r="B19" s="555">
        <f t="shared" si="1"/>
        <v>27.17</v>
      </c>
      <c r="C19" s="556">
        <v>32218</v>
      </c>
      <c r="D19" s="557">
        <f t="shared" si="11"/>
        <v>3190</v>
      </c>
      <c r="E19" s="558">
        <f t="shared" si="12"/>
        <v>161</v>
      </c>
      <c r="F19" s="536">
        <f t="shared" si="2"/>
        <v>6250.29</v>
      </c>
      <c r="G19" s="549">
        <f t="shared" si="3"/>
        <v>41819.29</v>
      </c>
      <c r="I19" s="535" t="str">
        <f t="shared" si="4"/>
        <v>SCP 23</v>
      </c>
      <c r="J19" s="536">
        <f t="shared" si="5"/>
        <v>208</v>
      </c>
      <c r="K19" s="559">
        <f t="shared" si="6"/>
        <v>54.34</v>
      </c>
      <c r="L19" s="559">
        <f t="shared" si="7"/>
        <v>40.76</v>
      </c>
      <c r="M19" s="560">
        <f t="shared" si="8"/>
        <v>40.76</v>
      </c>
      <c r="N19" s="560">
        <f t="shared" si="9"/>
        <v>40.76</v>
      </c>
      <c r="O19" s="536">
        <f t="shared" si="13"/>
        <v>6250.29</v>
      </c>
      <c r="P19" s="549">
        <f t="shared" si="14"/>
        <v>38468</v>
      </c>
      <c r="Q19" s="536">
        <f t="shared" si="10"/>
        <v>185</v>
      </c>
      <c r="R19" s="536">
        <f t="shared" si="15"/>
        <v>170</v>
      </c>
      <c r="T19" s="550"/>
      <c r="U19" s="561">
        <f>VLOOKUP(A19,'[1]PSC Pay award 2022-23'!$A$2:$K$40,11,FALSE)</f>
        <v>30152</v>
      </c>
      <c r="V19" s="556">
        <v>28117.53</v>
      </c>
      <c r="W19" s="556">
        <v>27498.81</v>
      </c>
      <c r="X19" s="552"/>
      <c r="Z19" s="553"/>
    </row>
    <row r="20" spans="1:26" x14ac:dyDescent="0.25">
      <c r="A20" s="554">
        <v>24</v>
      </c>
      <c r="B20" s="555">
        <f t="shared" si="1"/>
        <v>28.07</v>
      </c>
      <c r="C20" s="556">
        <v>33250</v>
      </c>
      <c r="D20" s="557">
        <f t="shared" si="11"/>
        <v>3333</v>
      </c>
      <c r="E20" s="558">
        <f t="shared" si="12"/>
        <v>166</v>
      </c>
      <c r="F20" s="536">
        <f t="shared" si="2"/>
        <v>6450.5</v>
      </c>
      <c r="G20" s="549">
        <f t="shared" si="3"/>
        <v>43199.5</v>
      </c>
      <c r="I20" s="535" t="str">
        <f t="shared" si="4"/>
        <v>SCP 24</v>
      </c>
      <c r="J20" s="536">
        <f t="shared" si="5"/>
        <v>208</v>
      </c>
      <c r="K20" s="559">
        <f t="shared" si="6"/>
        <v>56.14</v>
      </c>
      <c r="L20" s="559">
        <f t="shared" si="7"/>
        <v>42.11</v>
      </c>
      <c r="M20" s="560">
        <f t="shared" si="8"/>
        <v>42.11</v>
      </c>
      <c r="N20" s="560">
        <f t="shared" si="9"/>
        <v>42.11</v>
      </c>
      <c r="O20" s="536">
        <f t="shared" si="13"/>
        <v>6450.5</v>
      </c>
      <c r="P20" s="549">
        <f t="shared" si="14"/>
        <v>39701</v>
      </c>
      <c r="Q20" s="536">
        <f t="shared" si="10"/>
        <v>191</v>
      </c>
      <c r="R20" s="536">
        <f t="shared" si="15"/>
        <v>176</v>
      </c>
      <c r="T20" s="550"/>
      <c r="U20" s="561">
        <f>VLOOKUP(A20,'[1]PSC Pay award 2022-23'!$A$2:$K$40,11,FALSE)</f>
        <v>31184</v>
      </c>
      <c r="V20" s="556">
        <v>29080.28</v>
      </c>
      <c r="W20" s="556">
        <v>28440.37</v>
      </c>
      <c r="X20" s="552"/>
      <c r="Z20" s="553"/>
    </row>
    <row r="21" spans="1:26" x14ac:dyDescent="0.25">
      <c r="A21" s="554">
        <v>25</v>
      </c>
      <c r="B21" s="555">
        <f t="shared" si="1"/>
        <v>29.07</v>
      </c>
      <c r="C21" s="556">
        <v>34410</v>
      </c>
      <c r="D21" s="557">
        <f t="shared" si="11"/>
        <v>3493</v>
      </c>
      <c r="E21" s="558">
        <f t="shared" si="12"/>
        <v>172</v>
      </c>
      <c r="F21" s="536">
        <f t="shared" si="2"/>
        <v>6675.54</v>
      </c>
      <c r="G21" s="549">
        <f t="shared" si="3"/>
        <v>44750.54</v>
      </c>
      <c r="I21" s="535" t="str">
        <f t="shared" si="4"/>
        <v>SCP 25</v>
      </c>
      <c r="J21" s="536">
        <f t="shared" si="5"/>
        <v>208</v>
      </c>
      <c r="K21" s="559">
        <f t="shared" si="6"/>
        <v>58.14</v>
      </c>
      <c r="L21" s="559">
        <f t="shared" si="7"/>
        <v>43.61</v>
      </c>
      <c r="M21" s="560">
        <f t="shared" si="8"/>
        <v>43.61</v>
      </c>
      <c r="N21" s="560">
        <f t="shared" si="9"/>
        <v>43.61</v>
      </c>
      <c r="O21" s="536">
        <f t="shared" si="13"/>
        <v>6675.54</v>
      </c>
      <c r="P21" s="549">
        <f t="shared" si="14"/>
        <v>41086</v>
      </c>
      <c r="Q21" s="536">
        <f t="shared" si="10"/>
        <v>198</v>
      </c>
      <c r="R21" s="536">
        <f t="shared" si="15"/>
        <v>182</v>
      </c>
      <c r="T21" s="550"/>
      <c r="U21" s="561">
        <f>VLOOKUP(A21,'[1]PSC Pay award 2022-23'!$A$2:$K$40,11,FALSE)</f>
        <v>32343</v>
      </c>
      <c r="V21" s="556">
        <v>30158.99</v>
      </c>
      <c r="W21" s="556">
        <v>29495.34</v>
      </c>
      <c r="X21" s="552"/>
      <c r="Z21" s="553"/>
    </row>
    <row r="22" spans="1:26" x14ac:dyDescent="0.25">
      <c r="A22" s="554">
        <v>26</v>
      </c>
      <c r="B22" s="555">
        <f t="shared" si="1"/>
        <v>30</v>
      </c>
      <c r="C22" s="556">
        <v>35478</v>
      </c>
      <c r="D22" s="557">
        <f t="shared" si="11"/>
        <v>3640</v>
      </c>
      <c r="E22" s="558">
        <f t="shared" si="12"/>
        <v>177</v>
      </c>
      <c r="F22" s="536">
        <f t="shared" si="2"/>
        <v>6882.73</v>
      </c>
      <c r="G22" s="549">
        <f t="shared" si="3"/>
        <v>46177.729999999996</v>
      </c>
      <c r="I22" s="535" t="str">
        <f t="shared" si="4"/>
        <v>SCP 26</v>
      </c>
      <c r="J22" s="536">
        <f t="shared" si="5"/>
        <v>208</v>
      </c>
      <c r="K22" s="559">
        <f t="shared" si="6"/>
        <v>60</v>
      </c>
      <c r="L22" s="559">
        <f t="shared" si="7"/>
        <v>45</v>
      </c>
      <c r="M22" s="560">
        <f t="shared" si="8"/>
        <v>45</v>
      </c>
      <c r="N22" s="560">
        <f t="shared" si="9"/>
        <v>45</v>
      </c>
      <c r="O22" s="536">
        <f t="shared" si="13"/>
        <v>6882.73</v>
      </c>
      <c r="P22" s="549">
        <f t="shared" si="14"/>
        <v>42361</v>
      </c>
      <c r="Q22" s="536">
        <f t="shared" si="10"/>
        <v>204</v>
      </c>
      <c r="R22" s="536">
        <f t="shared" si="15"/>
        <v>188</v>
      </c>
      <c r="T22" s="550"/>
      <c r="U22" s="561">
        <f>VLOOKUP(A22,'[1]PSC Pay award 2022-23'!$A$2:$K$40,11,FALSE)</f>
        <v>33412</v>
      </c>
      <c r="V22" s="556">
        <v>31155.77</v>
      </c>
      <c r="W22" s="556">
        <v>30470.19</v>
      </c>
      <c r="X22" s="552"/>
      <c r="Z22" s="553"/>
    </row>
    <row r="23" spans="1:26" x14ac:dyDescent="0.25">
      <c r="A23" s="554">
        <v>27</v>
      </c>
      <c r="B23" s="555">
        <f t="shared" si="1"/>
        <v>30.9</v>
      </c>
      <c r="C23" s="556">
        <v>36507</v>
      </c>
      <c r="D23" s="557">
        <f t="shared" si="11"/>
        <v>3782</v>
      </c>
      <c r="E23" s="558">
        <f t="shared" si="12"/>
        <v>183</v>
      </c>
      <c r="F23" s="536">
        <f t="shared" si="2"/>
        <v>7082.36</v>
      </c>
      <c r="G23" s="549">
        <f t="shared" si="3"/>
        <v>47554.36</v>
      </c>
      <c r="I23" s="535" t="str">
        <f t="shared" si="4"/>
        <v>SCP 27</v>
      </c>
      <c r="J23" s="536">
        <f t="shared" si="5"/>
        <v>208</v>
      </c>
      <c r="K23" s="559">
        <f t="shared" si="6"/>
        <v>61.8</v>
      </c>
      <c r="L23" s="559">
        <f t="shared" si="7"/>
        <v>46.35</v>
      </c>
      <c r="M23" s="560">
        <f t="shared" si="8"/>
        <v>46.35</v>
      </c>
      <c r="N23" s="560">
        <f t="shared" si="9"/>
        <v>46.35</v>
      </c>
      <c r="O23" s="536">
        <f t="shared" si="13"/>
        <v>7082.36</v>
      </c>
      <c r="P23" s="549">
        <f t="shared" si="14"/>
        <v>43589</v>
      </c>
      <c r="Q23" s="536">
        <f t="shared" si="10"/>
        <v>210</v>
      </c>
      <c r="R23" s="536">
        <f t="shared" si="15"/>
        <v>194</v>
      </c>
      <c r="T23" s="550"/>
      <c r="U23" s="561">
        <f>VLOOKUP(A23,'[1]PSC Pay award 2022-23'!$A$2:$K$40,11,FALSE)</f>
        <v>34441</v>
      </c>
      <c r="V23" s="556">
        <v>32118.52</v>
      </c>
      <c r="W23" s="556">
        <v>31411.759999999998</v>
      </c>
      <c r="X23" s="552"/>
      <c r="Z23" s="553"/>
    </row>
    <row r="24" spans="1:26" x14ac:dyDescent="0.25">
      <c r="A24" s="554">
        <v>28</v>
      </c>
      <c r="B24" s="555">
        <f t="shared" si="1"/>
        <v>31.79</v>
      </c>
      <c r="C24" s="556">
        <v>37536</v>
      </c>
      <c r="D24" s="557">
        <f t="shared" si="11"/>
        <v>3924</v>
      </c>
      <c r="E24" s="558">
        <f t="shared" si="12"/>
        <v>188</v>
      </c>
      <c r="F24" s="536">
        <f t="shared" si="2"/>
        <v>7281.98</v>
      </c>
      <c r="G24" s="549">
        <f t="shared" si="3"/>
        <v>48929.979999999996</v>
      </c>
      <c r="I24" s="535" t="str">
        <f t="shared" si="4"/>
        <v>SCP 28</v>
      </c>
      <c r="J24" s="536">
        <f t="shared" si="5"/>
        <v>208</v>
      </c>
      <c r="K24" s="559">
        <f t="shared" si="6"/>
        <v>63.58</v>
      </c>
      <c r="L24" s="559">
        <f t="shared" si="7"/>
        <v>47.69</v>
      </c>
      <c r="M24" s="560">
        <f t="shared" si="8"/>
        <v>47.69</v>
      </c>
      <c r="N24" s="560">
        <f t="shared" si="9"/>
        <v>47.69</v>
      </c>
      <c r="O24" s="536">
        <f t="shared" si="13"/>
        <v>7281.98</v>
      </c>
      <c r="P24" s="549">
        <f t="shared" si="14"/>
        <v>44818</v>
      </c>
      <c r="Q24" s="536">
        <f t="shared" si="10"/>
        <v>215</v>
      </c>
      <c r="R24" s="536">
        <f t="shared" si="15"/>
        <v>199</v>
      </c>
      <c r="T24" s="550"/>
      <c r="U24" s="561">
        <f>VLOOKUP(A24,'[1]PSC Pay award 2022-23'!$A$2:$K$40,11,FALSE)</f>
        <v>35470</v>
      </c>
      <c r="V24" s="556">
        <v>33074.89</v>
      </c>
      <c r="W24" s="556">
        <v>32347.08</v>
      </c>
      <c r="X24" s="552"/>
      <c r="Z24" s="553"/>
    </row>
    <row r="25" spans="1:26" x14ac:dyDescent="0.25">
      <c r="A25" s="554">
        <v>29</v>
      </c>
      <c r="B25" s="555">
        <f t="shared" si="1"/>
        <v>32.68</v>
      </c>
      <c r="C25" s="556">
        <v>38561</v>
      </c>
      <c r="D25" s="557">
        <f t="shared" si="11"/>
        <v>4066</v>
      </c>
      <c r="E25" s="558">
        <f t="shared" si="12"/>
        <v>193</v>
      </c>
      <c r="F25" s="536">
        <f t="shared" si="2"/>
        <v>7480.83</v>
      </c>
      <c r="G25" s="549">
        <f t="shared" si="3"/>
        <v>50300.83</v>
      </c>
      <c r="I25" s="535" t="str">
        <f t="shared" si="4"/>
        <v>SCP 29</v>
      </c>
      <c r="J25" s="536">
        <f t="shared" si="5"/>
        <v>208</v>
      </c>
      <c r="K25" s="559">
        <f t="shared" si="6"/>
        <v>65.36</v>
      </c>
      <c r="L25" s="559">
        <f t="shared" si="7"/>
        <v>49.02</v>
      </c>
      <c r="M25" s="560">
        <f t="shared" si="8"/>
        <v>49.02</v>
      </c>
      <c r="N25" s="560">
        <f t="shared" si="9"/>
        <v>49.02</v>
      </c>
      <c r="O25" s="536">
        <f t="shared" si="13"/>
        <v>7480.83</v>
      </c>
      <c r="P25" s="549">
        <f t="shared" si="14"/>
        <v>46042</v>
      </c>
      <c r="Q25" s="536">
        <f t="shared" si="10"/>
        <v>221</v>
      </c>
      <c r="R25" s="536">
        <f t="shared" si="15"/>
        <v>205</v>
      </c>
      <c r="T25" s="550"/>
      <c r="U25" s="561">
        <f>VLOOKUP(A25,'[1]PSC Pay award 2022-23'!$A$2:$K$40,11,FALSE)</f>
        <v>36496</v>
      </c>
      <c r="V25" s="556">
        <v>34032.32</v>
      </c>
      <c r="W25" s="556">
        <v>33283.440000000002</v>
      </c>
      <c r="X25" s="552"/>
      <c r="Z25" s="553"/>
    </row>
    <row r="26" spans="1:26" x14ac:dyDescent="0.25">
      <c r="A26" s="554">
        <v>30</v>
      </c>
      <c r="B26" s="555">
        <f t="shared" si="1"/>
        <v>33.590000000000003</v>
      </c>
      <c r="C26" s="556">
        <v>39605</v>
      </c>
      <c r="D26" s="557">
        <f t="shared" si="11"/>
        <v>4210</v>
      </c>
      <c r="E26" s="558">
        <f t="shared" si="12"/>
        <v>198</v>
      </c>
      <c r="F26" s="536">
        <f t="shared" si="2"/>
        <v>7683.37</v>
      </c>
      <c r="G26" s="549">
        <f t="shared" si="3"/>
        <v>51696.37</v>
      </c>
      <c r="I26" s="535" t="str">
        <f t="shared" si="4"/>
        <v>SCP 30</v>
      </c>
      <c r="J26" s="536">
        <f t="shared" si="5"/>
        <v>208</v>
      </c>
      <c r="K26" s="559">
        <f t="shared" si="6"/>
        <v>67.180000000000007</v>
      </c>
      <c r="L26" s="559">
        <f t="shared" si="7"/>
        <v>50.39</v>
      </c>
      <c r="M26" s="560">
        <f t="shared" si="8"/>
        <v>50.39</v>
      </c>
      <c r="N26" s="560">
        <f t="shared" si="9"/>
        <v>50.39</v>
      </c>
      <c r="O26" s="536">
        <f t="shared" si="13"/>
        <v>7683.37</v>
      </c>
      <c r="P26" s="549">
        <f t="shared" si="14"/>
        <v>47288</v>
      </c>
      <c r="Q26" s="536">
        <f t="shared" si="10"/>
        <v>227</v>
      </c>
      <c r="R26" s="536">
        <f t="shared" si="15"/>
        <v>211</v>
      </c>
      <c r="T26" s="550"/>
      <c r="U26" s="561">
        <f>VLOOKUP(A26,'[1]PSC Pay award 2022-23'!$A$2:$K$40,11,FALSE)</f>
        <v>37538</v>
      </c>
      <c r="V26" s="556">
        <v>35002.51</v>
      </c>
      <c r="W26" s="556">
        <v>34232.28</v>
      </c>
      <c r="X26" s="552"/>
      <c r="Z26" s="553"/>
    </row>
    <row r="27" spans="1:26" x14ac:dyDescent="0.25">
      <c r="A27" s="554">
        <v>31</v>
      </c>
      <c r="B27" s="555">
        <f t="shared" si="1"/>
        <v>34.44</v>
      </c>
      <c r="C27" s="556">
        <v>40588</v>
      </c>
      <c r="D27" s="557">
        <f t="shared" si="11"/>
        <v>4345</v>
      </c>
      <c r="E27" s="558">
        <f t="shared" si="12"/>
        <v>203</v>
      </c>
      <c r="F27" s="536">
        <f t="shared" si="2"/>
        <v>7874.07</v>
      </c>
      <c r="G27" s="549">
        <f t="shared" si="3"/>
        <v>53010.07</v>
      </c>
      <c r="I27" s="535" t="str">
        <f t="shared" si="4"/>
        <v>SCP 31</v>
      </c>
      <c r="J27" s="536">
        <f t="shared" si="5"/>
        <v>208</v>
      </c>
      <c r="K27" s="559">
        <f t="shared" si="6"/>
        <v>68.88</v>
      </c>
      <c r="L27" s="559">
        <f t="shared" si="7"/>
        <v>51.66</v>
      </c>
      <c r="M27" s="560">
        <f t="shared" si="8"/>
        <v>51.66</v>
      </c>
      <c r="N27" s="560">
        <f t="shared" si="9"/>
        <v>51.66</v>
      </c>
      <c r="O27" s="536">
        <f t="shared" si="13"/>
        <v>7874.07</v>
      </c>
      <c r="P27" s="549">
        <f t="shared" si="14"/>
        <v>48462</v>
      </c>
      <c r="Q27" s="536">
        <f t="shared" si="10"/>
        <v>233</v>
      </c>
      <c r="R27" s="536">
        <f t="shared" si="15"/>
        <v>216</v>
      </c>
      <c r="T27" s="550"/>
      <c r="U27" s="561">
        <f>VLOOKUP(A27,'[1]PSC Pay award 2022-23'!$A$2:$K$40,11,FALSE)</f>
        <v>38522</v>
      </c>
      <c r="V27" s="556">
        <v>35922.71</v>
      </c>
      <c r="W27" s="556">
        <v>35132.230000000003</v>
      </c>
      <c r="X27" s="552"/>
      <c r="Z27" s="553"/>
    </row>
    <row r="28" spans="1:26" x14ac:dyDescent="0.25">
      <c r="A28" s="539">
        <v>32</v>
      </c>
      <c r="B28" s="540">
        <f t="shared" si="1"/>
        <v>35.270000000000003</v>
      </c>
      <c r="C28" s="541">
        <v>41547</v>
      </c>
      <c r="D28" s="542">
        <f t="shared" si="11"/>
        <v>4478</v>
      </c>
      <c r="E28" s="542">
        <f t="shared" si="12"/>
        <v>208</v>
      </c>
      <c r="F28" s="543">
        <f t="shared" si="2"/>
        <v>8060.12</v>
      </c>
      <c r="G28" s="544">
        <f t="shared" si="3"/>
        <v>54293.120000000003</v>
      </c>
      <c r="H28" s="545"/>
      <c r="I28" s="546" t="str">
        <f t="shared" si="4"/>
        <v>SCP 32</v>
      </c>
      <c r="J28" s="543">
        <f t="shared" si="5"/>
        <v>208</v>
      </c>
      <c r="K28" s="547">
        <f t="shared" si="6"/>
        <v>70.540000000000006</v>
      </c>
      <c r="L28" s="547">
        <f t="shared" si="7"/>
        <v>52.91</v>
      </c>
      <c r="M28" s="548">
        <f t="shared" si="8"/>
        <v>52.91</v>
      </c>
      <c r="N28" s="548">
        <f t="shared" si="9"/>
        <v>52.91</v>
      </c>
      <c r="O28" s="536">
        <f t="shared" si="13"/>
        <v>8060.12</v>
      </c>
      <c r="P28" s="549">
        <f t="shared" si="14"/>
        <v>49607</v>
      </c>
      <c r="Q28" s="536">
        <f t="shared" si="10"/>
        <v>238</v>
      </c>
      <c r="R28" s="536">
        <f t="shared" si="15"/>
        <v>221</v>
      </c>
      <c r="T28" s="550"/>
      <c r="U28" s="551">
        <f>VLOOKUP(A28,'[1]PSC Pay award 2022-23'!$A$2:$K$40,11,FALSE)</f>
        <v>39482</v>
      </c>
      <c r="V28" s="541">
        <v>36820.550000000003</v>
      </c>
      <c r="W28" s="541">
        <v>36010.32</v>
      </c>
      <c r="X28" s="552"/>
      <c r="Z28" s="553"/>
    </row>
    <row r="29" spans="1:26" x14ac:dyDescent="0.25">
      <c r="A29" s="554">
        <v>33</v>
      </c>
      <c r="B29" s="555">
        <f t="shared" si="1"/>
        <v>36.14</v>
      </c>
      <c r="C29" s="556">
        <v>42539</v>
      </c>
      <c r="D29" s="557">
        <f t="shared" si="11"/>
        <v>4615</v>
      </c>
      <c r="E29" s="558">
        <f t="shared" si="12"/>
        <v>213</v>
      </c>
      <c r="F29" s="536">
        <f t="shared" si="2"/>
        <v>8252.57</v>
      </c>
      <c r="G29" s="549">
        <f t="shared" si="3"/>
        <v>55619.57</v>
      </c>
      <c r="I29" s="535" t="str">
        <f t="shared" si="4"/>
        <v>SCP 33</v>
      </c>
      <c r="J29" s="536">
        <f t="shared" si="5"/>
        <v>208</v>
      </c>
      <c r="K29" s="559">
        <f t="shared" si="6"/>
        <v>72.28</v>
      </c>
      <c r="L29" s="559">
        <f t="shared" si="7"/>
        <v>54.21</v>
      </c>
      <c r="M29" s="560">
        <f t="shared" si="8"/>
        <v>54.21</v>
      </c>
      <c r="N29" s="560">
        <f t="shared" si="9"/>
        <v>54.21</v>
      </c>
      <c r="O29" s="536">
        <f t="shared" si="13"/>
        <v>8252.57</v>
      </c>
      <c r="P29" s="549">
        <f t="shared" si="14"/>
        <v>50792</v>
      </c>
      <c r="Q29" s="536">
        <f t="shared" si="10"/>
        <v>244</v>
      </c>
      <c r="R29" s="536">
        <f t="shared" si="15"/>
        <v>227</v>
      </c>
      <c r="T29" s="550"/>
      <c r="U29" s="561">
        <f>VLOOKUP(A29,'[1]PSC Pay award 2022-23'!$A$2:$K$40,11,FALSE)</f>
        <v>40472</v>
      </c>
      <c r="V29" s="556">
        <v>37743.94</v>
      </c>
      <c r="W29" s="556">
        <v>36913.39</v>
      </c>
      <c r="X29" s="552"/>
      <c r="Z29" s="553"/>
    </row>
    <row r="30" spans="1:26" x14ac:dyDescent="0.25">
      <c r="A30" s="554">
        <v>34</v>
      </c>
      <c r="B30" s="555">
        <f t="shared" si="1"/>
        <v>37.17</v>
      </c>
      <c r="C30" s="556">
        <v>43727</v>
      </c>
      <c r="D30" s="557">
        <f t="shared" si="11"/>
        <v>4779</v>
      </c>
      <c r="E30" s="558">
        <f t="shared" si="12"/>
        <v>219</v>
      </c>
      <c r="F30" s="536">
        <f t="shared" si="2"/>
        <v>8483.0400000000009</v>
      </c>
      <c r="G30" s="549">
        <f t="shared" si="3"/>
        <v>57208.04</v>
      </c>
      <c r="I30" s="535" t="str">
        <f t="shared" si="4"/>
        <v>SCP 34</v>
      </c>
      <c r="J30" s="536">
        <f t="shared" si="5"/>
        <v>208</v>
      </c>
      <c r="K30" s="559">
        <f t="shared" si="6"/>
        <v>74.34</v>
      </c>
      <c r="L30" s="559">
        <f t="shared" si="7"/>
        <v>55.76</v>
      </c>
      <c r="M30" s="560">
        <f t="shared" si="8"/>
        <v>55.76</v>
      </c>
      <c r="N30" s="560">
        <f t="shared" si="9"/>
        <v>55.76</v>
      </c>
      <c r="O30" s="536">
        <f t="shared" si="13"/>
        <v>8483.0400000000009</v>
      </c>
      <c r="P30" s="549">
        <f t="shared" si="14"/>
        <v>52210</v>
      </c>
      <c r="Q30" s="536">
        <f t="shared" si="10"/>
        <v>251</v>
      </c>
      <c r="R30" s="536">
        <f t="shared" si="15"/>
        <v>233</v>
      </c>
      <c r="T30" s="550"/>
      <c r="U30" s="561">
        <f>VLOOKUP(A30,'[1]PSC Pay award 2022-23'!$A$2:$K$40,11,FALSE)</f>
        <v>41661</v>
      </c>
      <c r="V30" s="556">
        <v>38852.43</v>
      </c>
      <c r="W30" s="556">
        <v>37997.49</v>
      </c>
      <c r="X30" s="552"/>
      <c r="Z30" s="553"/>
    </row>
    <row r="31" spans="1:26" x14ac:dyDescent="0.25">
      <c r="A31" s="554">
        <v>35</v>
      </c>
      <c r="B31" s="555">
        <f t="shared" si="1"/>
        <v>38.31</v>
      </c>
      <c r="C31" s="556">
        <v>45041</v>
      </c>
      <c r="D31" s="557">
        <f t="shared" si="11"/>
        <v>4960</v>
      </c>
      <c r="E31" s="558">
        <f t="shared" si="12"/>
        <v>225</v>
      </c>
      <c r="F31" s="536">
        <f t="shared" si="2"/>
        <v>8737.9500000000007</v>
      </c>
      <c r="G31" s="549">
        <f t="shared" si="3"/>
        <v>58963.95</v>
      </c>
      <c r="I31" s="535" t="str">
        <f t="shared" si="4"/>
        <v>SCP 35</v>
      </c>
      <c r="J31" s="536">
        <f t="shared" si="5"/>
        <v>208</v>
      </c>
      <c r="K31" s="559">
        <f t="shared" si="6"/>
        <v>76.62</v>
      </c>
      <c r="L31" s="559">
        <f t="shared" si="7"/>
        <v>57.47</v>
      </c>
      <c r="M31" s="560">
        <f t="shared" si="8"/>
        <v>57.47</v>
      </c>
      <c r="N31" s="560">
        <f t="shared" si="9"/>
        <v>57.47</v>
      </c>
      <c r="O31" s="536">
        <f t="shared" si="13"/>
        <v>8737.9500000000007</v>
      </c>
      <c r="P31" s="549">
        <f t="shared" si="14"/>
        <v>53779</v>
      </c>
      <c r="Q31" s="536">
        <f t="shared" si="10"/>
        <v>259</v>
      </c>
      <c r="R31" s="536">
        <f t="shared" si="15"/>
        <v>240</v>
      </c>
      <c r="T31" s="550"/>
      <c r="U31" s="561">
        <f>VLOOKUP(A31,'[1]PSC Pay award 2022-23'!$A$2:$K$40,11,FALSE)</f>
        <v>42974</v>
      </c>
      <c r="V31" s="556">
        <v>40077.94</v>
      </c>
      <c r="W31" s="556">
        <v>39196.03</v>
      </c>
      <c r="X31" s="552"/>
      <c r="Z31" s="553"/>
    </row>
    <row r="32" spans="1:26" x14ac:dyDescent="0.25">
      <c r="A32" s="554">
        <v>36</v>
      </c>
      <c r="B32" s="555">
        <f t="shared" si="1"/>
        <v>39.32</v>
      </c>
      <c r="C32" s="556">
        <v>46210</v>
      </c>
      <c r="D32" s="557">
        <f t="shared" si="11"/>
        <v>5121</v>
      </c>
      <c r="E32" s="558">
        <f t="shared" si="12"/>
        <v>231</v>
      </c>
      <c r="F32" s="536">
        <f t="shared" si="2"/>
        <v>8964.74</v>
      </c>
      <c r="G32" s="549">
        <f t="shared" si="3"/>
        <v>60526.74</v>
      </c>
      <c r="I32" s="535" t="str">
        <f t="shared" si="4"/>
        <v>SCP 36</v>
      </c>
      <c r="J32" s="536">
        <f t="shared" si="5"/>
        <v>208</v>
      </c>
      <c r="K32" s="559">
        <f t="shared" si="6"/>
        <v>78.64</v>
      </c>
      <c r="L32" s="559">
        <f t="shared" si="7"/>
        <v>58.98</v>
      </c>
      <c r="M32" s="560">
        <f t="shared" si="8"/>
        <v>58.98</v>
      </c>
      <c r="N32" s="560">
        <f t="shared" si="9"/>
        <v>58.98</v>
      </c>
      <c r="O32" s="536">
        <f t="shared" si="13"/>
        <v>8964.74</v>
      </c>
      <c r="P32" s="549">
        <f t="shared" si="14"/>
        <v>55175</v>
      </c>
      <c r="Q32" s="536">
        <f t="shared" si="10"/>
        <v>265</v>
      </c>
      <c r="R32" s="536">
        <f t="shared" si="15"/>
        <v>247</v>
      </c>
      <c r="T32" s="550"/>
      <c r="U32" s="561">
        <f>VLOOKUP(A32,'[1]PSC Pay award 2022-23'!$A$2:$K$40,11,FALSE)</f>
        <v>44143</v>
      </c>
      <c r="V32" s="556">
        <v>41166.22</v>
      </c>
      <c r="W32" s="556">
        <v>40260.36</v>
      </c>
      <c r="X32" s="552"/>
      <c r="Z32" s="553"/>
    </row>
    <row r="33" spans="1:26" x14ac:dyDescent="0.25">
      <c r="A33" s="554">
        <v>37</v>
      </c>
      <c r="B33" s="555">
        <f t="shared" si="1"/>
        <v>40.32</v>
      </c>
      <c r="C33" s="556">
        <v>47355</v>
      </c>
      <c r="D33" s="557">
        <f t="shared" si="11"/>
        <v>5279</v>
      </c>
      <c r="E33" s="558">
        <f t="shared" si="12"/>
        <v>237</v>
      </c>
      <c r="F33" s="536">
        <f t="shared" si="2"/>
        <v>9186.8700000000008</v>
      </c>
      <c r="G33" s="549">
        <f t="shared" si="3"/>
        <v>62057.87</v>
      </c>
      <c r="I33" s="535" t="str">
        <f t="shared" si="4"/>
        <v>SCP 37</v>
      </c>
      <c r="J33" s="536">
        <f t="shared" si="5"/>
        <v>208</v>
      </c>
      <c r="K33" s="559">
        <f t="shared" si="6"/>
        <v>80.64</v>
      </c>
      <c r="L33" s="559">
        <f t="shared" si="7"/>
        <v>60.48</v>
      </c>
      <c r="M33" s="560">
        <f t="shared" si="8"/>
        <v>60.48</v>
      </c>
      <c r="N33" s="560">
        <f t="shared" si="9"/>
        <v>60.48</v>
      </c>
      <c r="O33" s="536">
        <f t="shared" si="13"/>
        <v>9186.8700000000008</v>
      </c>
      <c r="P33" s="549">
        <f t="shared" si="14"/>
        <v>56542</v>
      </c>
      <c r="Q33" s="536">
        <f t="shared" si="10"/>
        <v>272</v>
      </c>
      <c r="R33" s="536">
        <f t="shared" si="15"/>
        <v>253</v>
      </c>
      <c r="T33" s="550"/>
      <c r="U33" s="561">
        <f>VLOOKUP(A33,'[1]PSC Pay award 2022-23'!$A$2:$K$40,11,FALSE)</f>
        <v>45289</v>
      </c>
      <c r="V33" s="556">
        <v>42235.34</v>
      </c>
      <c r="W33" s="556">
        <v>41305.96</v>
      </c>
      <c r="X33" s="552"/>
      <c r="Z33" s="553"/>
    </row>
    <row r="34" spans="1:26" x14ac:dyDescent="0.25">
      <c r="A34" s="554">
        <v>38</v>
      </c>
      <c r="B34" s="555">
        <f t="shared" si="1"/>
        <v>41.32</v>
      </c>
      <c r="C34" s="556">
        <v>48511</v>
      </c>
      <c r="D34" s="557">
        <f t="shared" si="11"/>
        <v>5439</v>
      </c>
      <c r="E34" s="558">
        <f t="shared" si="12"/>
        <v>243</v>
      </c>
      <c r="F34" s="536">
        <f t="shared" si="2"/>
        <v>9411.1299999999992</v>
      </c>
      <c r="G34" s="549">
        <f t="shared" si="3"/>
        <v>63604.13</v>
      </c>
      <c r="I34" s="535" t="str">
        <f t="shared" si="4"/>
        <v>SCP 38</v>
      </c>
      <c r="J34" s="536">
        <f t="shared" si="5"/>
        <v>208</v>
      </c>
      <c r="K34" s="559">
        <f t="shared" si="6"/>
        <v>82.64</v>
      </c>
      <c r="L34" s="559">
        <f t="shared" si="7"/>
        <v>61.98</v>
      </c>
      <c r="M34" s="560">
        <f t="shared" si="8"/>
        <v>61.98</v>
      </c>
      <c r="N34" s="560">
        <f t="shared" si="9"/>
        <v>61.98</v>
      </c>
      <c r="O34" s="536">
        <f t="shared" si="13"/>
        <v>9411.1299999999992</v>
      </c>
      <c r="P34" s="549">
        <f t="shared" si="14"/>
        <v>57922</v>
      </c>
      <c r="Q34" s="536">
        <f t="shared" si="10"/>
        <v>278</v>
      </c>
      <c r="R34" s="536">
        <f t="shared" si="15"/>
        <v>259</v>
      </c>
      <c r="T34" s="550"/>
      <c r="U34" s="561">
        <f>VLOOKUP(A34,'[1]PSC Pay award 2022-23'!$A$2:$K$40,11,FALSE)</f>
        <v>46445</v>
      </c>
      <c r="V34" s="556">
        <v>43314.05</v>
      </c>
      <c r="W34" s="556">
        <v>42360.93</v>
      </c>
      <c r="X34" s="552"/>
      <c r="Z34" s="553"/>
    </row>
    <row r="35" spans="1:26" x14ac:dyDescent="0.25">
      <c r="A35" s="554">
        <v>39</v>
      </c>
      <c r="B35" s="555">
        <f t="shared" si="1"/>
        <v>42.34</v>
      </c>
      <c r="C35" s="556">
        <v>49680</v>
      </c>
      <c r="D35" s="557">
        <f t="shared" si="11"/>
        <v>5600</v>
      </c>
      <c r="E35" s="558">
        <f t="shared" si="12"/>
        <v>248</v>
      </c>
      <c r="F35" s="536">
        <f t="shared" si="2"/>
        <v>9637.92</v>
      </c>
      <c r="G35" s="549">
        <f t="shared" si="3"/>
        <v>65165.919999999998</v>
      </c>
      <c r="I35" s="535" t="str">
        <f t="shared" si="4"/>
        <v>SCP 39</v>
      </c>
      <c r="J35" s="536">
        <f t="shared" si="5"/>
        <v>208</v>
      </c>
      <c r="K35" s="559">
        <f t="shared" si="6"/>
        <v>84.68</v>
      </c>
      <c r="L35" s="559">
        <f t="shared" si="7"/>
        <v>63.51</v>
      </c>
      <c r="M35" s="560">
        <f t="shared" si="8"/>
        <v>63.51</v>
      </c>
      <c r="N35" s="560">
        <f t="shared" si="9"/>
        <v>63.51</v>
      </c>
      <c r="O35" s="536">
        <f t="shared" si="13"/>
        <v>9637.92</v>
      </c>
      <c r="P35" s="549">
        <f t="shared" si="14"/>
        <v>59318</v>
      </c>
      <c r="Q35" s="536">
        <f t="shared" si="10"/>
        <v>285</v>
      </c>
      <c r="R35" s="536">
        <f t="shared" si="15"/>
        <v>266</v>
      </c>
      <c r="T35" s="550"/>
      <c r="U35" s="561">
        <f>VLOOKUP(A35,'[1]PSC Pay award 2022-23'!$A$2:$K$40,11,FALSE)</f>
        <v>47615</v>
      </c>
      <c r="V35" s="556">
        <v>44405.52</v>
      </c>
      <c r="W35" s="556">
        <v>43428.38</v>
      </c>
      <c r="X35" s="552"/>
      <c r="Z35" s="553"/>
    </row>
    <row r="36" spans="1:26" x14ac:dyDescent="0.25">
      <c r="A36" s="554">
        <v>40</v>
      </c>
      <c r="B36" s="555">
        <f t="shared" si="1"/>
        <v>43.35</v>
      </c>
      <c r="C36" s="556">
        <v>50840</v>
      </c>
      <c r="D36" s="557">
        <f t="shared" si="11"/>
        <v>5760</v>
      </c>
      <c r="E36" s="558">
        <f t="shared" si="12"/>
        <v>254</v>
      </c>
      <c r="F36" s="536">
        <f t="shared" si="2"/>
        <v>9862.9599999999991</v>
      </c>
      <c r="G36" s="549">
        <f t="shared" si="3"/>
        <v>66716.959999999992</v>
      </c>
      <c r="I36" s="535" t="str">
        <f t="shared" si="4"/>
        <v>SCP 40</v>
      </c>
      <c r="J36" s="536">
        <f t="shared" si="5"/>
        <v>208</v>
      </c>
      <c r="K36" s="559">
        <f t="shared" si="6"/>
        <v>86.7</v>
      </c>
      <c r="L36" s="559">
        <f t="shared" si="7"/>
        <v>65.03</v>
      </c>
      <c r="M36" s="560">
        <f t="shared" si="8"/>
        <v>65.03</v>
      </c>
      <c r="N36" s="560">
        <f t="shared" si="9"/>
        <v>65.03</v>
      </c>
      <c r="O36" s="536">
        <f t="shared" si="13"/>
        <v>9862.9599999999991</v>
      </c>
      <c r="P36" s="549">
        <f t="shared" si="14"/>
        <v>60703</v>
      </c>
      <c r="Q36" s="536">
        <f t="shared" si="10"/>
        <v>292</v>
      </c>
      <c r="R36" s="536">
        <f t="shared" si="15"/>
        <v>272</v>
      </c>
      <c r="T36" s="550"/>
      <c r="U36" s="561">
        <f>VLOOKUP(A36,'[1]PSC Pay award 2022-23'!$A$2:$K$40,11,FALSE)</f>
        <v>48774</v>
      </c>
      <c r="V36" s="556">
        <v>45483.15</v>
      </c>
      <c r="W36" s="556">
        <v>44482.3</v>
      </c>
      <c r="X36" s="552"/>
      <c r="Z36" s="553"/>
    </row>
    <row r="37" spans="1:26" x14ac:dyDescent="0.25">
      <c r="A37" s="554">
        <v>41</v>
      </c>
      <c r="B37" s="555">
        <f t="shared" si="1"/>
        <v>44.35</v>
      </c>
      <c r="C37" s="556">
        <v>51999</v>
      </c>
      <c r="D37" s="557">
        <f t="shared" si="11"/>
        <v>5920</v>
      </c>
      <c r="E37" s="558">
        <f t="shared" si="12"/>
        <v>260</v>
      </c>
      <c r="F37" s="536">
        <f t="shared" si="2"/>
        <v>10087.81</v>
      </c>
      <c r="G37" s="549">
        <f t="shared" si="3"/>
        <v>68266.81</v>
      </c>
      <c r="I37" s="535" t="str">
        <f t="shared" si="4"/>
        <v>SCP 41</v>
      </c>
      <c r="J37" s="536">
        <f t="shared" si="5"/>
        <v>208</v>
      </c>
      <c r="K37" s="559">
        <f t="shared" si="6"/>
        <v>88.7</v>
      </c>
      <c r="L37" s="559">
        <f t="shared" si="7"/>
        <v>66.53</v>
      </c>
      <c r="M37" s="560">
        <f t="shared" si="8"/>
        <v>66.53</v>
      </c>
      <c r="N37" s="560">
        <f t="shared" si="9"/>
        <v>66.53</v>
      </c>
      <c r="O37" s="536">
        <f t="shared" si="13"/>
        <v>10087.81</v>
      </c>
      <c r="P37" s="549">
        <f t="shared" si="14"/>
        <v>62087</v>
      </c>
      <c r="Q37" s="536">
        <f t="shared" si="10"/>
        <v>298</v>
      </c>
      <c r="R37" s="536">
        <f t="shared" si="15"/>
        <v>278</v>
      </c>
      <c r="T37" s="550"/>
      <c r="U37" s="561">
        <f>VLOOKUP(A37,'[1]PSC Pay award 2022-23'!$A$2:$K$40,11,FALSE)</f>
        <v>49933</v>
      </c>
      <c r="V37" s="556">
        <v>46568.24</v>
      </c>
      <c r="W37" s="556">
        <v>45543.51</v>
      </c>
      <c r="X37" s="552"/>
      <c r="Z37" s="553"/>
    </row>
    <row r="38" spans="1:26" x14ac:dyDescent="0.25">
      <c r="A38" s="554">
        <v>42</v>
      </c>
      <c r="B38" s="555">
        <f t="shared" si="1"/>
        <v>45.35</v>
      </c>
      <c r="C38" s="556">
        <v>53153</v>
      </c>
      <c r="D38" s="557">
        <f t="shared" si="11"/>
        <v>6079</v>
      </c>
      <c r="E38" s="558">
        <f t="shared" si="12"/>
        <v>266</v>
      </c>
      <c r="F38" s="536">
        <f t="shared" si="2"/>
        <v>10311.68</v>
      </c>
      <c r="G38" s="549">
        <f t="shared" si="3"/>
        <v>69809.679999999993</v>
      </c>
      <c r="I38" s="535" t="str">
        <f t="shared" si="4"/>
        <v>SCP 42</v>
      </c>
      <c r="J38" s="536">
        <f t="shared" si="5"/>
        <v>208</v>
      </c>
      <c r="K38" s="559">
        <f t="shared" si="6"/>
        <v>90.7</v>
      </c>
      <c r="L38" s="559">
        <f t="shared" si="7"/>
        <v>68.03</v>
      </c>
      <c r="M38" s="560">
        <f t="shared" si="8"/>
        <v>68.03</v>
      </c>
      <c r="N38" s="560">
        <f t="shared" si="9"/>
        <v>68.03</v>
      </c>
      <c r="O38" s="536">
        <f t="shared" si="13"/>
        <v>10311.68</v>
      </c>
      <c r="P38" s="549">
        <f t="shared" si="14"/>
        <v>63465</v>
      </c>
      <c r="Q38" s="536">
        <f t="shared" si="10"/>
        <v>305</v>
      </c>
      <c r="R38" s="536">
        <f t="shared" si="15"/>
        <v>285</v>
      </c>
      <c r="T38" s="550"/>
      <c r="U38" s="561">
        <f>VLOOKUP(A38,'[1]PSC Pay award 2022-23'!$A$2:$K$40,11,FALSE)</f>
        <v>51086</v>
      </c>
      <c r="V38" s="556">
        <v>47643.75</v>
      </c>
      <c r="W38" s="556">
        <v>46595.35</v>
      </c>
      <c r="X38" s="552"/>
      <c r="Z38" s="553"/>
    </row>
    <row r="39" spans="1:26" x14ac:dyDescent="0.25">
      <c r="A39" s="554">
        <v>43</v>
      </c>
      <c r="B39" s="555">
        <f t="shared" si="1"/>
        <v>46.36</v>
      </c>
      <c r="C39" s="556">
        <v>54310</v>
      </c>
      <c r="D39" s="557">
        <f t="shared" si="11"/>
        <v>6239</v>
      </c>
      <c r="E39" s="558">
        <f t="shared" si="12"/>
        <v>272</v>
      </c>
      <c r="F39" s="536">
        <f t="shared" si="2"/>
        <v>10536.14</v>
      </c>
      <c r="G39" s="549">
        <f t="shared" si="3"/>
        <v>71357.14</v>
      </c>
      <c r="I39" s="535" t="str">
        <f t="shared" si="4"/>
        <v>SCP 43</v>
      </c>
      <c r="J39" s="536">
        <f t="shared" si="5"/>
        <v>208</v>
      </c>
      <c r="K39" s="559">
        <f t="shared" si="6"/>
        <v>92.72</v>
      </c>
      <c r="L39" s="559">
        <f t="shared" si="7"/>
        <v>69.540000000000006</v>
      </c>
      <c r="M39" s="560">
        <f t="shared" si="8"/>
        <v>69.540000000000006</v>
      </c>
      <c r="N39" s="560">
        <f t="shared" si="9"/>
        <v>69.540000000000006</v>
      </c>
      <c r="O39" s="536">
        <f t="shared" si="13"/>
        <v>10536.14</v>
      </c>
      <c r="P39" s="549">
        <f t="shared" si="14"/>
        <v>64846</v>
      </c>
      <c r="Q39" s="536">
        <f t="shared" si="10"/>
        <v>312</v>
      </c>
      <c r="R39" s="536">
        <f t="shared" si="15"/>
        <v>291</v>
      </c>
      <c r="T39" s="550"/>
      <c r="U39" s="561">
        <f>VLOOKUP(A39,'[1]PSC Pay award 2022-23'!$A$2:$K$40,11,FALSE)</f>
        <v>52243</v>
      </c>
      <c r="V39" s="556">
        <v>48719.26</v>
      </c>
      <c r="W39" s="556">
        <v>47647.199999999997</v>
      </c>
      <c r="X39" s="552"/>
      <c r="Z39" s="553"/>
    </row>
    <row r="40" spans="1:26" x14ac:dyDescent="0.25">
      <c r="A40" s="539">
        <v>44</v>
      </c>
      <c r="B40" s="540">
        <f t="shared" si="1"/>
        <v>47.36</v>
      </c>
      <c r="C40" s="541">
        <v>55457</v>
      </c>
      <c r="D40" s="542">
        <f t="shared" si="11"/>
        <v>6397</v>
      </c>
      <c r="E40" s="542">
        <f t="shared" si="12"/>
        <v>277</v>
      </c>
      <c r="F40" s="543">
        <f t="shared" si="2"/>
        <v>10758.66</v>
      </c>
      <c r="G40" s="544">
        <f t="shared" si="3"/>
        <v>72889.66</v>
      </c>
      <c r="H40" s="545"/>
      <c r="I40" s="546" t="str">
        <f t="shared" si="4"/>
        <v>SCP 44</v>
      </c>
      <c r="J40" s="543">
        <f t="shared" si="5"/>
        <v>208</v>
      </c>
      <c r="K40" s="547">
        <f t="shared" si="6"/>
        <v>94.72</v>
      </c>
      <c r="L40" s="547">
        <f t="shared" si="7"/>
        <v>71.040000000000006</v>
      </c>
      <c r="M40" s="548">
        <f t="shared" si="8"/>
        <v>71.040000000000006</v>
      </c>
      <c r="N40" s="548">
        <f t="shared" si="9"/>
        <v>71.040000000000006</v>
      </c>
      <c r="O40" s="536">
        <f t="shared" si="13"/>
        <v>10758.66</v>
      </c>
      <c r="P40" s="549">
        <f t="shared" si="14"/>
        <v>66216</v>
      </c>
      <c r="Q40" s="536">
        <f t="shared" si="10"/>
        <v>318</v>
      </c>
      <c r="R40" s="536">
        <f t="shared" si="15"/>
        <v>297</v>
      </c>
      <c r="T40" s="550"/>
      <c r="U40" s="551">
        <f>VLOOKUP(A40,'[1]PSC Pay award 2022-23'!$A$2:$K$40,11,FALSE)</f>
        <v>53392</v>
      </c>
      <c r="V40" s="541">
        <v>49793.71</v>
      </c>
      <c r="W40" s="541">
        <v>48698</v>
      </c>
      <c r="X40" s="552"/>
      <c r="Z40" s="553"/>
    </row>
    <row r="41" spans="1:26" x14ac:dyDescent="0.25">
      <c r="A41" s="554">
        <v>45</v>
      </c>
      <c r="B41" s="555">
        <f t="shared" si="1"/>
        <v>48.36</v>
      </c>
      <c r="C41" s="556">
        <v>56617</v>
      </c>
      <c r="D41" s="557">
        <f t="shared" si="11"/>
        <v>6557</v>
      </c>
      <c r="E41" s="558">
        <f t="shared" si="12"/>
        <v>283</v>
      </c>
      <c r="F41" s="536">
        <f t="shared" si="2"/>
        <v>10983.7</v>
      </c>
      <c r="G41" s="549">
        <f t="shared" si="3"/>
        <v>74440.7</v>
      </c>
      <c r="I41" s="535" t="str">
        <f t="shared" si="4"/>
        <v>SCP 45</v>
      </c>
      <c r="J41" s="536">
        <f t="shared" si="5"/>
        <v>208</v>
      </c>
      <c r="K41" s="559">
        <f t="shared" si="6"/>
        <v>96.72</v>
      </c>
      <c r="L41" s="559">
        <f t="shared" si="7"/>
        <v>72.540000000000006</v>
      </c>
      <c r="M41" s="560">
        <f t="shared" si="8"/>
        <v>72.540000000000006</v>
      </c>
      <c r="N41" s="560">
        <f t="shared" si="9"/>
        <v>72.540000000000006</v>
      </c>
      <c r="O41" s="536">
        <f t="shared" si="13"/>
        <v>10983.7</v>
      </c>
      <c r="P41" s="549">
        <f t="shared" si="14"/>
        <v>67601</v>
      </c>
      <c r="Q41" s="536">
        <f t="shared" si="10"/>
        <v>325</v>
      </c>
      <c r="R41" s="536">
        <f t="shared" si="15"/>
        <v>304</v>
      </c>
      <c r="T41" s="550"/>
      <c r="U41" s="561">
        <f>VLOOKUP(A41,'[1]PSC Pay award 2022-23'!$A$2:$K$40,11,FALSE)</f>
        <v>54552</v>
      </c>
      <c r="V41" s="556">
        <v>50875.6</v>
      </c>
      <c r="W41" s="556">
        <v>49756.09</v>
      </c>
      <c r="X41" s="552"/>
      <c r="Z41" s="553"/>
    </row>
  </sheetData>
  <mergeCells count="1">
    <mergeCell ref="B1:C1"/>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sheetPr>
  <dimension ref="A1:V49"/>
  <sheetViews>
    <sheetView workbookViewId="0">
      <pane xSplit="1" ySplit="2" topLeftCell="B3" activePane="bottomRight" state="frozen"/>
      <selection activeCell="D4" sqref="D4:J11"/>
      <selection pane="topRight" activeCell="D4" sqref="D4:J11"/>
      <selection pane="bottomLeft" activeCell="D4" sqref="D4:J11"/>
      <selection pane="bottomRight" activeCell="D4" sqref="D4:J11"/>
    </sheetView>
  </sheetViews>
  <sheetFormatPr defaultColWidth="8.88671875" defaultRowHeight="12.75" x14ac:dyDescent="0.2"/>
  <cols>
    <col min="1" max="1" width="22" style="9" bestFit="1" customWidth="1"/>
    <col min="2" max="5" width="8.88671875" style="9"/>
    <col min="6" max="6" width="11.88671875" style="9" customWidth="1"/>
    <col min="7" max="7" width="19.109375" style="9" bestFit="1" customWidth="1"/>
    <col min="8" max="8" width="8.88671875" style="9"/>
    <col min="9" max="9" width="11.88671875" style="9" bestFit="1" customWidth="1"/>
    <col min="10" max="10" width="9" style="9" bestFit="1" customWidth="1"/>
    <col min="11" max="11" width="9.6640625" style="9" bestFit="1" customWidth="1"/>
    <col min="12" max="12" width="9" style="9" bestFit="1" customWidth="1"/>
    <col min="13" max="13" width="9" style="9" customWidth="1"/>
    <col min="14" max="14" width="9" style="9" bestFit="1" customWidth="1"/>
    <col min="15" max="16" width="9.6640625" style="9" bestFit="1" customWidth="1"/>
    <col min="17" max="16384" width="8.88671875" style="9"/>
  </cols>
  <sheetData>
    <row r="1" spans="1:22" ht="13.5" thickBot="1" x14ac:dyDescent="0.25">
      <c r="A1" s="488" t="s">
        <v>105</v>
      </c>
      <c r="B1" s="489"/>
      <c r="C1" s="489"/>
      <c r="D1" s="489"/>
      <c r="E1" s="489"/>
      <c r="F1" s="489"/>
      <c r="G1" s="490"/>
      <c r="J1" s="916" t="s">
        <v>405</v>
      </c>
      <c r="K1" s="917"/>
      <c r="L1" s="917"/>
      <c r="M1" s="917"/>
      <c r="N1" s="917"/>
      <c r="O1" s="917"/>
      <c r="P1" s="917"/>
      <c r="Q1" s="917"/>
      <c r="R1" s="917"/>
      <c r="S1" s="917"/>
      <c r="T1" s="917"/>
      <c r="U1" s="917"/>
      <c r="V1" s="918"/>
    </row>
    <row r="2" spans="1:22" ht="13.5" thickBot="1" x14ac:dyDescent="0.25">
      <c r="A2" s="491"/>
      <c r="B2" s="492" t="s">
        <v>253</v>
      </c>
      <c r="C2" s="492" t="s">
        <v>254</v>
      </c>
      <c r="D2" s="492" t="s">
        <v>255</v>
      </c>
      <c r="E2" s="492" t="s">
        <v>417</v>
      </c>
      <c r="F2" s="492" t="s">
        <v>162</v>
      </c>
      <c r="G2" s="493" t="s">
        <v>159</v>
      </c>
      <c r="I2" s="480" t="s">
        <v>105</v>
      </c>
      <c r="J2" s="913" t="s">
        <v>416</v>
      </c>
      <c r="K2" s="914"/>
      <c r="L2" s="914"/>
      <c r="M2" s="915"/>
      <c r="N2" s="913" t="s">
        <v>413</v>
      </c>
      <c r="O2" s="914"/>
      <c r="P2" s="915"/>
      <c r="Q2" s="913" t="s">
        <v>414</v>
      </c>
      <c r="R2" s="914"/>
      <c r="S2" s="915"/>
      <c r="T2" s="913" t="s">
        <v>415</v>
      </c>
      <c r="U2" s="914"/>
      <c r="V2" s="915"/>
    </row>
    <row r="3" spans="1:22" x14ac:dyDescent="0.2">
      <c r="A3" s="494" t="s">
        <v>191</v>
      </c>
      <c r="B3" s="492"/>
      <c r="C3" s="492"/>
      <c r="D3" s="492"/>
      <c r="E3" s="492"/>
      <c r="F3" s="492"/>
      <c r="G3" s="493"/>
      <c r="I3" s="495" t="s">
        <v>107</v>
      </c>
      <c r="J3" s="456">
        <v>53.407499999999999</v>
      </c>
      <c r="K3" s="477">
        <v>40.055624999999999</v>
      </c>
      <c r="L3" s="457">
        <v>35.515987500000001</v>
      </c>
      <c r="M3" s="515">
        <v>40.049999999999997</v>
      </c>
      <c r="N3" s="465">
        <v>52.66</v>
      </c>
      <c r="O3" s="471">
        <v>39.5</v>
      </c>
      <c r="P3" s="466">
        <v>35.020000000000003</v>
      </c>
      <c r="Q3" s="450">
        <v>50.9</v>
      </c>
      <c r="R3" s="474">
        <v>38.174999999999997</v>
      </c>
      <c r="S3" s="451">
        <v>33.848500000000001</v>
      </c>
      <c r="T3" s="456">
        <v>49.67</v>
      </c>
      <c r="U3" s="477">
        <v>37.25</v>
      </c>
      <c r="V3" s="458">
        <v>33.03</v>
      </c>
    </row>
    <row r="4" spans="1:22" x14ac:dyDescent="0.2">
      <c r="A4" s="494" t="s">
        <v>107</v>
      </c>
      <c r="B4" s="487">
        <v>57.32</v>
      </c>
      <c r="C4" s="487">
        <v>42.99</v>
      </c>
      <c r="D4" s="487">
        <v>38.119999999999997</v>
      </c>
      <c r="E4" s="487">
        <v>42.99</v>
      </c>
      <c r="F4" s="481">
        <v>0</v>
      </c>
      <c r="G4" s="482">
        <v>0</v>
      </c>
      <c r="I4" s="496" t="s">
        <v>108</v>
      </c>
      <c r="J4" s="459">
        <v>67.862499999999997</v>
      </c>
      <c r="K4" s="478">
        <v>50.896874999999994</v>
      </c>
      <c r="L4" s="460">
        <v>45.128562500000001</v>
      </c>
      <c r="M4" s="516">
        <v>50.894999999999996</v>
      </c>
      <c r="N4" s="467">
        <v>67.67</v>
      </c>
      <c r="O4" s="472">
        <v>50.75</v>
      </c>
      <c r="P4" s="468">
        <v>45</v>
      </c>
      <c r="Q4" s="452">
        <v>65.752499999999998</v>
      </c>
      <c r="R4" s="475">
        <v>49.314374999999998</v>
      </c>
      <c r="S4" s="453">
        <v>43.725412499999997</v>
      </c>
      <c r="T4" s="459">
        <v>64.17</v>
      </c>
      <c r="U4" s="478">
        <v>48.13</v>
      </c>
      <c r="V4" s="461">
        <v>42.67</v>
      </c>
    </row>
    <row r="5" spans="1:22" x14ac:dyDescent="0.2">
      <c r="A5" s="494" t="s">
        <v>108</v>
      </c>
      <c r="B5" s="487">
        <v>72.92</v>
      </c>
      <c r="C5" s="487">
        <v>54.69</v>
      </c>
      <c r="D5" s="487">
        <v>48.49</v>
      </c>
      <c r="E5" s="487">
        <v>54.69</v>
      </c>
      <c r="F5" s="481">
        <v>0</v>
      </c>
      <c r="G5" s="482">
        <v>0</v>
      </c>
      <c r="I5" s="496" t="s">
        <v>109</v>
      </c>
      <c r="J5" s="459">
        <v>51.817187500000003</v>
      </c>
      <c r="K5" s="478">
        <v>51.817187500000003</v>
      </c>
      <c r="L5" s="460">
        <v>51.817187500000003</v>
      </c>
      <c r="M5" s="516">
        <v>62.175000000000004</v>
      </c>
      <c r="N5" s="467">
        <v>51.85</v>
      </c>
      <c r="O5" s="472">
        <v>51.85</v>
      </c>
      <c r="P5" s="468">
        <v>51.85</v>
      </c>
      <c r="Q5" s="452">
        <v>51.209375000000001</v>
      </c>
      <c r="R5" s="475">
        <v>51.209375000000001</v>
      </c>
      <c r="S5" s="453">
        <v>51.209375000000001</v>
      </c>
      <c r="T5" s="459">
        <v>49.98</v>
      </c>
      <c r="U5" s="478">
        <f>T5</f>
        <v>49.98</v>
      </c>
      <c r="V5" s="461">
        <f>T5</f>
        <v>49.98</v>
      </c>
    </row>
    <row r="6" spans="1:22" x14ac:dyDescent="0.2">
      <c r="A6" s="494" t="s">
        <v>109</v>
      </c>
      <c r="B6" s="487">
        <v>55.29</v>
      </c>
      <c r="C6" s="487">
        <v>55.29</v>
      </c>
      <c r="D6" s="487">
        <v>55.29</v>
      </c>
      <c r="E6" s="487">
        <v>66.349999999999994</v>
      </c>
      <c r="F6" s="481">
        <v>0</v>
      </c>
      <c r="G6" s="482">
        <v>0</v>
      </c>
      <c r="I6" s="496" t="s">
        <v>110</v>
      </c>
      <c r="J6" s="459">
        <v>55.503125000000004</v>
      </c>
      <c r="K6" s="478">
        <v>55.503125000000004</v>
      </c>
      <c r="L6" s="460">
        <v>55.503125000000004</v>
      </c>
      <c r="M6" s="516">
        <v>66.599999999999994</v>
      </c>
      <c r="N6" s="467">
        <v>55.54</v>
      </c>
      <c r="O6" s="472">
        <v>55.54</v>
      </c>
      <c r="P6" s="468">
        <v>55.54</v>
      </c>
      <c r="Q6" s="452">
        <v>54.860937500000006</v>
      </c>
      <c r="R6" s="475">
        <v>54.860937500000006</v>
      </c>
      <c r="S6" s="453">
        <v>54.860937500000006</v>
      </c>
      <c r="T6" s="459">
        <v>53.55</v>
      </c>
      <c r="U6" s="478">
        <f>T6</f>
        <v>53.55</v>
      </c>
      <c r="V6" s="461">
        <f>T6</f>
        <v>53.55</v>
      </c>
    </row>
    <row r="7" spans="1:22" x14ac:dyDescent="0.2">
      <c r="A7" s="494" t="s">
        <v>110</v>
      </c>
      <c r="B7" s="487">
        <v>59.46</v>
      </c>
      <c r="C7" s="487">
        <v>59.46</v>
      </c>
      <c r="D7" s="487">
        <v>59.46</v>
      </c>
      <c r="E7" s="487">
        <v>71.349999999999994</v>
      </c>
      <c r="F7" s="481">
        <v>0</v>
      </c>
      <c r="G7" s="482">
        <v>0</v>
      </c>
      <c r="I7" s="496" t="s">
        <v>111</v>
      </c>
      <c r="J7" s="459">
        <v>68.178124999999994</v>
      </c>
      <c r="K7" s="478">
        <v>68.178124999999994</v>
      </c>
      <c r="L7" s="460">
        <v>68.178124999999994</v>
      </c>
      <c r="M7" s="516">
        <v>81.81</v>
      </c>
      <c r="N7" s="467">
        <v>68.37</v>
      </c>
      <c r="O7" s="472">
        <v>68.37</v>
      </c>
      <c r="P7" s="468">
        <v>68.37</v>
      </c>
      <c r="Q7" s="452">
        <v>65.779687499999994</v>
      </c>
      <c r="R7" s="475">
        <v>65.779687499999994</v>
      </c>
      <c r="S7" s="453">
        <v>65.779687499999994</v>
      </c>
      <c r="T7" s="459">
        <v>64.150000000000006</v>
      </c>
      <c r="U7" s="478">
        <f t="shared" ref="U7:U8" si="0">T7</f>
        <v>64.150000000000006</v>
      </c>
      <c r="V7" s="461">
        <f t="shared" ref="V7:V8" si="1">T7</f>
        <v>64.150000000000006</v>
      </c>
    </row>
    <row r="8" spans="1:22" ht="13.5" thickBot="1" x14ac:dyDescent="0.25">
      <c r="A8" s="494" t="s">
        <v>111</v>
      </c>
      <c r="B8" s="487">
        <v>73.06</v>
      </c>
      <c r="C8" s="487">
        <v>73.06</v>
      </c>
      <c r="D8" s="487">
        <v>73.06</v>
      </c>
      <c r="E8" s="487">
        <v>87.67</v>
      </c>
      <c r="F8" s="481">
        <v>0</v>
      </c>
      <c r="G8" s="482">
        <v>0</v>
      </c>
      <c r="I8" s="497" t="s">
        <v>185</v>
      </c>
      <c r="J8" s="462">
        <v>81.484375</v>
      </c>
      <c r="K8" s="479">
        <v>81.484375</v>
      </c>
      <c r="L8" s="463">
        <v>81.484375</v>
      </c>
      <c r="M8" s="517">
        <v>97.784999999999997</v>
      </c>
      <c r="N8" s="469">
        <v>78.56</v>
      </c>
      <c r="O8" s="473">
        <v>78.56</v>
      </c>
      <c r="P8" s="470">
        <v>78.56</v>
      </c>
      <c r="Q8" s="454">
        <v>76.271874999999994</v>
      </c>
      <c r="R8" s="476">
        <v>76.271874999999994</v>
      </c>
      <c r="S8" s="455">
        <v>76.271874999999994</v>
      </c>
      <c r="T8" s="462">
        <v>74.39</v>
      </c>
      <c r="U8" s="479">
        <f t="shared" si="0"/>
        <v>74.39</v>
      </c>
      <c r="V8" s="464">
        <f t="shared" si="1"/>
        <v>74.39</v>
      </c>
    </row>
    <row r="9" spans="1:22" x14ac:dyDescent="0.2">
      <c r="A9" s="494" t="s">
        <v>185</v>
      </c>
      <c r="B9" s="487">
        <v>84.6</v>
      </c>
      <c r="C9" s="487">
        <v>84.6</v>
      </c>
      <c r="D9" s="487">
        <v>84.6</v>
      </c>
      <c r="E9" s="487">
        <v>101.52</v>
      </c>
      <c r="F9" s="481">
        <v>0</v>
      </c>
      <c r="G9" s="482">
        <v>0</v>
      </c>
    </row>
    <row r="10" spans="1:22" x14ac:dyDescent="0.2">
      <c r="A10" s="494" t="s">
        <v>387</v>
      </c>
      <c r="B10" s="483">
        <f>B4/2</f>
        <v>28.66</v>
      </c>
      <c r="C10" s="483">
        <f t="shared" ref="C10:E10" si="2">C4/2</f>
        <v>21.495000000000001</v>
      </c>
      <c r="D10" s="483">
        <f t="shared" si="2"/>
        <v>19.059999999999999</v>
      </c>
      <c r="E10" s="483">
        <f t="shared" si="2"/>
        <v>21.495000000000001</v>
      </c>
      <c r="F10" s="481">
        <v>0</v>
      </c>
      <c r="G10" s="482">
        <v>0</v>
      </c>
    </row>
    <row r="11" spans="1:22" x14ac:dyDescent="0.2">
      <c r="A11" s="519" t="str">
        <f>'SCP Rates'!I3</f>
        <v>SCP 7</v>
      </c>
      <c r="B11" s="487">
        <f>'SCP Rates'!K3</f>
        <v>37.32</v>
      </c>
      <c r="C11" s="487">
        <f>'SCP Rates'!L3</f>
        <v>27.99</v>
      </c>
      <c r="D11" s="487">
        <f t="shared" ref="D11:D49" si="3">C11</f>
        <v>27.99</v>
      </c>
      <c r="E11" s="487">
        <f>D11</f>
        <v>27.99</v>
      </c>
      <c r="F11" s="481">
        <v>0</v>
      </c>
      <c r="G11" s="482">
        <v>0</v>
      </c>
      <c r="I11" s="501"/>
      <c r="J11" s="500"/>
      <c r="K11" s="500"/>
      <c r="L11" s="500"/>
      <c r="M11" s="500"/>
      <c r="N11" s="500"/>
      <c r="O11" s="500"/>
      <c r="P11" s="500"/>
    </row>
    <row r="12" spans="1:22" x14ac:dyDescent="0.2">
      <c r="A12" s="494" t="str">
        <f>'SCP Rates'!I4</f>
        <v>SCP 8</v>
      </c>
      <c r="B12" s="483">
        <f>'SCP Rates'!K4</f>
        <v>37.56</v>
      </c>
      <c r="C12" s="483">
        <f>'SCP Rates'!L4</f>
        <v>28.17</v>
      </c>
      <c r="D12" s="483">
        <f t="shared" si="3"/>
        <v>28.17</v>
      </c>
      <c r="E12" s="483">
        <f>D12</f>
        <v>28.17</v>
      </c>
      <c r="F12" s="481">
        <v>0</v>
      </c>
      <c r="G12" s="482">
        <v>0</v>
      </c>
      <c r="I12" s="502"/>
      <c r="J12" s="503"/>
      <c r="K12" s="503"/>
      <c r="L12" s="503"/>
      <c r="M12" s="503"/>
      <c r="N12" s="503"/>
      <c r="O12" s="503"/>
      <c r="P12" s="503"/>
    </row>
    <row r="13" spans="1:22" x14ac:dyDescent="0.2">
      <c r="A13" s="494" t="str">
        <f>'SCP Rates'!I5</f>
        <v>SCP 9</v>
      </c>
      <c r="B13" s="483">
        <f>'SCP Rates'!K5</f>
        <v>38.32</v>
      </c>
      <c r="C13" s="483">
        <f>'SCP Rates'!L5</f>
        <v>28.74</v>
      </c>
      <c r="D13" s="483">
        <f t="shared" si="3"/>
        <v>28.74</v>
      </c>
      <c r="E13" s="483">
        <f t="shared" ref="E13:E49" si="4">D13</f>
        <v>28.74</v>
      </c>
      <c r="F13" s="481">
        <v>0</v>
      </c>
      <c r="G13" s="482">
        <v>0</v>
      </c>
      <c r="I13" s="502"/>
      <c r="J13" s="503"/>
      <c r="K13" s="503"/>
      <c r="L13" s="503"/>
      <c r="M13" s="503"/>
      <c r="N13" s="503"/>
      <c r="O13" s="503"/>
      <c r="P13" s="503"/>
    </row>
    <row r="14" spans="1:22" x14ac:dyDescent="0.2">
      <c r="A14" s="494" t="str">
        <f>'SCP Rates'!I6</f>
        <v>SCP 10</v>
      </c>
      <c r="B14" s="483">
        <f>'SCP Rates'!K6</f>
        <v>39.119999999999997</v>
      </c>
      <c r="C14" s="483">
        <f>'SCP Rates'!L6</f>
        <v>29.34</v>
      </c>
      <c r="D14" s="483">
        <f t="shared" si="3"/>
        <v>29.34</v>
      </c>
      <c r="E14" s="483">
        <f t="shared" si="4"/>
        <v>29.34</v>
      </c>
      <c r="F14" s="481">
        <v>0</v>
      </c>
      <c r="G14" s="482">
        <v>0</v>
      </c>
      <c r="I14" s="502"/>
      <c r="J14" s="503"/>
      <c r="K14" s="503"/>
      <c r="L14" s="503"/>
      <c r="M14" s="503"/>
      <c r="N14" s="503"/>
      <c r="O14" s="503"/>
      <c r="P14" s="503"/>
    </row>
    <row r="15" spans="1:22" x14ac:dyDescent="0.2">
      <c r="A15" s="494" t="str">
        <f>'SCP Rates'!I7</f>
        <v>SCP 11</v>
      </c>
      <c r="B15" s="483">
        <f>'SCP Rates'!K7</f>
        <v>39.880000000000003</v>
      </c>
      <c r="C15" s="483">
        <f>'SCP Rates'!L7</f>
        <v>29.91</v>
      </c>
      <c r="D15" s="483">
        <f t="shared" si="3"/>
        <v>29.91</v>
      </c>
      <c r="E15" s="483">
        <f t="shared" si="4"/>
        <v>29.91</v>
      </c>
      <c r="F15" s="481">
        <v>0</v>
      </c>
      <c r="G15" s="482">
        <v>0</v>
      </c>
      <c r="I15" s="502"/>
      <c r="J15" s="503"/>
      <c r="K15" s="503"/>
      <c r="L15" s="503"/>
      <c r="M15" s="503"/>
      <c r="N15" s="503"/>
      <c r="O15" s="503"/>
      <c r="P15" s="503"/>
    </row>
    <row r="16" spans="1:22" x14ac:dyDescent="0.2">
      <c r="A16" s="494" t="str">
        <f>'SCP Rates'!I8</f>
        <v>SCP 12</v>
      </c>
      <c r="B16" s="483">
        <f>'SCP Rates'!K8</f>
        <v>40.68</v>
      </c>
      <c r="C16" s="483">
        <f>'SCP Rates'!L8</f>
        <v>30.51</v>
      </c>
      <c r="D16" s="483">
        <f t="shared" si="3"/>
        <v>30.51</v>
      </c>
      <c r="E16" s="483">
        <f t="shared" si="4"/>
        <v>30.51</v>
      </c>
      <c r="F16" s="481">
        <v>0</v>
      </c>
      <c r="G16" s="482">
        <v>0</v>
      </c>
      <c r="I16" s="499"/>
      <c r="J16" s="504"/>
      <c r="K16" s="504"/>
      <c r="L16" s="504"/>
      <c r="M16" s="504"/>
      <c r="N16" s="504"/>
      <c r="O16" s="504"/>
      <c r="P16" s="504"/>
    </row>
    <row r="17" spans="1:16" x14ac:dyDescent="0.2">
      <c r="A17" s="494" t="str">
        <f>'SCP Rates'!I9</f>
        <v>SCP 13</v>
      </c>
      <c r="B17" s="483">
        <f>'SCP Rates'!K9</f>
        <v>41.48</v>
      </c>
      <c r="C17" s="483">
        <f>'SCP Rates'!L9</f>
        <v>31.11</v>
      </c>
      <c r="D17" s="483">
        <f t="shared" si="3"/>
        <v>31.11</v>
      </c>
      <c r="E17" s="483">
        <f t="shared" si="4"/>
        <v>31.11</v>
      </c>
      <c r="F17" s="481">
        <v>0</v>
      </c>
      <c r="G17" s="482">
        <v>0</v>
      </c>
      <c r="I17" s="502"/>
      <c r="J17" s="503"/>
      <c r="K17" s="503"/>
      <c r="L17" s="503"/>
      <c r="M17" s="503"/>
      <c r="N17" s="503"/>
      <c r="O17" s="503"/>
      <c r="P17" s="503"/>
    </row>
    <row r="18" spans="1:16" x14ac:dyDescent="0.2">
      <c r="A18" s="494" t="str">
        <f>'SCP Rates'!I10</f>
        <v>SCP 14</v>
      </c>
      <c r="B18" s="483">
        <f>'SCP Rates'!K10</f>
        <v>42.3</v>
      </c>
      <c r="C18" s="483">
        <f>'SCP Rates'!L10</f>
        <v>31.73</v>
      </c>
      <c r="D18" s="483">
        <f t="shared" si="3"/>
        <v>31.73</v>
      </c>
      <c r="E18" s="483">
        <f t="shared" si="4"/>
        <v>31.73</v>
      </c>
      <c r="F18" s="481">
        <v>0</v>
      </c>
      <c r="G18" s="482">
        <v>0</v>
      </c>
      <c r="I18" s="499"/>
      <c r="J18" s="504"/>
      <c r="K18" s="504"/>
      <c r="L18" s="504"/>
      <c r="M18" s="504"/>
      <c r="N18" s="504"/>
      <c r="O18" s="504"/>
      <c r="P18" s="504"/>
    </row>
    <row r="19" spans="1:16" x14ac:dyDescent="0.2">
      <c r="A19" s="494" t="str">
        <f>'SCP Rates'!I11</f>
        <v>SCP 15</v>
      </c>
      <c r="B19" s="483">
        <f>'SCP Rates'!K11</f>
        <v>43.68</v>
      </c>
      <c r="C19" s="483">
        <f>'SCP Rates'!L11</f>
        <v>32.76</v>
      </c>
      <c r="D19" s="483">
        <f t="shared" si="3"/>
        <v>32.76</v>
      </c>
      <c r="E19" s="483">
        <f t="shared" si="4"/>
        <v>32.76</v>
      </c>
      <c r="F19" s="481">
        <v>0</v>
      </c>
      <c r="G19" s="482">
        <v>0</v>
      </c>
      <c r="I19" s="505"/>
      <c r="J19" s="506"/>
      <c r="K19" s="506"/>
      <c r="L19" s="506"/>
      <c r="M19" s="506"/>
      <c r="N19" s="506"/>
      <c r="O19" s="506"/>
      <c r="P19" s="506"/>
    </row>
    <row r="20" spans="1:16" x14ac:dyDescent="0.2">
      <c r="A20" s="494" t="str">
        <f>'SCP Rates'!I12</f>
        <v>SCP 16</v>
      </c>
      <c r="B20" s="483">
        <f>'SCP Rates'!K12</f>
        <v>45.06</v>
      </c>
      <c r="C20" s="483">
        <f>'SCP Rates'!L12</f>
        <v>33.799999999999997</v>
      </c>
      <c r="D20" s="483">
        <f t="shared" si="3"/>
        <v>33.799999999999997</v>
      </c>
      <c r="E20" s="483">
        <f t="shared" si="4"/>
        <v>33.799999999999997</v>
      </c>
      <c r="F20" s="481">
        <v>0</v>
      </c>
      <c r="G20" s="482">
        <v>0</v>
      </c>
      <c r="I20" s="502"/>
      <c r="J20" s="510"/>
      <c r="K20" s="510"/>
      <c r="L20" s="510"/>
      <c r="M20" s="510"/>
      <c r="N20" s="507"/>
      <c r="O20" s="507"/>
    </row>
    <row r="21" spans="1:16" x14ac:dyDescent="0.2">
      <c r="A21" s="519" t="str">
        <f>'SCP Rates'!I13</f>
        <v>SCP 17</v>
      </c>
      <c r="B21" s="487">
        <f>'SCP Rates'!K13</f>
        <v>46.58</v>
      </c>
      <c r="C21" s="487">
        <f>'SCP Rates'!L13</f>
        <v>34.94</v>
      </c>
      <c r="D21" s="487">
        <f t="shared" si="3"/>
        <v>34.94</v>
      </c>
      <c r="E21" s="487">
        <f t="shared" si="4"/>
        <v>34.94</v>
      </c>
      <c r="F21" s="481">
        <v>0</v>
      </c>
      <c r="G21" s="482">
        <v>0</v>
      </c>
      <c r="I21" s="511"/>
      <c r="J21" s="509"/>
      <c r="K21" s="509"/>
      <c r="L21" s="509"/>
      <c r="M21" s="509"/>
      <c r="N21" s="507"/>
      <c r="O21" s="507"/>
    </row>
    <row r="22" spans="1:16" x14ac:dyDescent="0.2">
      <c r="A22" s="494" t="str">
        <f>'SCP Rates'!I14</f>
        <v>SCP 18</v>
      </c>
      <c r="B22" s="483">
        <f>'SCP Rates'!K14</f>
        <v>47.34</v>
      </c>
      <c r="C22" s="483">
        <f>'SCP Rates'!L14</f>
        <v>35.51</v>
      </c>
      <c r="D22" s="483">
        <f t="shared" si="3"/>
        <v>35.51</v>
      </c>
      <c r="E22" s="483">
        <f t="shared" si="4"/>
        <v>35.51</v>
      </c>
      <c r="F22" s="481">
        <v>0</v>
      </c>
      <c r="G22" s="482">
        <v>0</v>
      </c>
      <c r="I22" s="512"/>
      <c r="J22" s="509"/>
      <c r="K22" s="509"/>
      <c r="L22" s="509"/>
      <c r="M22" s="509"/>
      <c r="N22" s="507"/>
      <c r="O22" s="507"/>
    </row>
    <row r="23" spans="1:16" x14ac:dyDescent="0.2">
      <c r="A23" s="494" t="str">
        <f>'SCP Rates'!I15</f>
        <v>SCP 19</v>
      </c>
      <c r="B23" s="483">
        <f>'SCP Rates'!K15</f>
        <v>48.26</v>
      </c>
      <c r="C23" s="483">
        <f>'SCP Rates'!L15</f>
        <v>36.200000000000003</v>
      </c>
      <c r="D23" s="483">
        <f t="shared" si="3"/>
        <v>36.200000000000003</v>
      </c>
      <c r="E23" s="483">
        <f t="shared" si="4"/>
        <v>36.200000000000003</v>
      </c>
      <c r="F23" s="481">
        <v>0</v>
      </c>
      <c r="G23" s="482">
        <v>0</v>
      </c>
      <c r="I23" s="512"/>
      <c r="J23" s="509"/>
      <c r="K23" s="509"/>
      <c r="L23" s="509"/>
      <c r="M23" s="509"/>
      <c r="N23" s="507"/>
      <c r="O23" s="507"/>
    </row>
    <row r="24" spans="1:16" x14ac:dyDescent="0.2">
      <c r="A24" s="494" t="str">
        <f>'SCP Rates'!I16</f>
        <v>SCP 20</v>
      </c>
      <c r="B24" s="483">
        <f>'SCP Rates'!K16</f>
        <v>49.64</v>
      </c>
      <c r="C24" s="483">
        <f>'SCP Rates'!L16</f>
        <v>37.229999999999997</v>
      </c>
      <c r="D24" s="483">
        <f t="shared" si="3"/>
        <v>37.229999999999997</v>
      </c>
      <c r="E24" s="483">
        <f t="shared" si="4"/>
        <v>37.229999999999997</v>
      </c>
      <c r="F24" s="481">
        <v>0</v>
      </c>
      <c r="G24" s="482">
        <v>0</v>
      </c>
      <c r="I24" s="512"/>
      <c r="J24" s="509"/>
      <c r="K24" s="509"/>
      <c r="L24" s="509"/>
      <c r="M24" s="509"/>
      <c r="N24" s="507"/>
      <c r="O24" s="507"/>
    </row>
    <row r="25" spans="1:16" x14ac:dyDescent="0.2">
      <c r="A25" s="494" t="str">
        <f>'SCP Rates'!I17</f>
        <v>SCP 21</v>
      </c>
      <c r="B25" s="483">
        <f>'SCP Rates'!K17</f>
        <v>51.02</v>
      </c>
      <c r="C25" s="483">
        <f>'SCP Rates'!L17</f>
        <v>38.270000000000003</v>
      </c>
      <c r="D25" s="483">
        <f t="shared" si="3"/>
        <v>38.270000000000003</v>
      </c>
      <c r="E25" s="483">
        <f t="shared" si="4"/>
        <v>38.270000000000003</v>
      </c>
      <c r="F25" s="481">
        <v>0</v>
      </c>
      <c r="G25" s="482">
        <v>0</v>
      </c>
      <c r="I25" s="512"/>
      <c r="J25" s="509"/>
      <c r="K25" s="509"/>
      <c r="L25" s="509"/>
      <c r="M25" s="509"/>
      <c r="N25" s="507"/>
      <c r="O25" s="507"/>
    </row>
    <row r="26" spans="1:16" x14ac:dyDescent="0.2">
      <c r="A26" s="494" t="str">
        <f>'SCP Rates'!I18</f>
        <v>SCP 22</v>
      </c>
      <c r="B26" s="483">
        <f>'SCP Rates'!K18</f>
        <v>52.62</v>
      </c>
      <c r="C26" s="483">
        <f>'SCP Rates'!L18</f>
        <v>39.47</v>
      </c>
      <c r="D26" s="483">
        <f t="shared" si="3"/>
        <v>39.47</v>
      </c>
      <c r="E26" s="483">
        <f t="shared" si="4"/>
        <v>39.47</v>
      </c>
      <c r="F26" s="481">
        <v>0</v>
      </c>
      <c r="G26" s="482">
        <v>0</v>
      </c>
      <c r="I26" s="512"/>
      <c r="J26" s="509"/>
      <c r="K26" s="509"/>
      <c r="L26" s="509"/>
      <c r="M26" s="509"/>
      <c r="N26" s="507"/>
      <c r="O26" s="507"/>
    </row>
    <row r="27" spans="1:16" x14ac:dyDescent="0.2">
      <c r="A27" s="494" t="str">
        <f>'SCP Rates'!I19</f>
        <v>SCP 23</v>
      </c>
      <c r="B27" s="483">
        <f>'SCP Rates'!K19</f>
        <v>54.34</v>
      </c>
      <c r="C27" s="483">
        <f>'SCP Rates'!L19</f>
        <v>40.76</v>
      </c>
      <c r="D27" s="483">
        <f t="shared" si="3"/>
        <v>40.76</v>
      </c>
      <c r="E27" s="483">
        <f t="shared" si="4"/>
        <v>40.76</v>
      </c>
      <c r="F27" s="481">
        <v>0</v>
      </c>
      <c r="G27" s="482">
        <v>0</v>
      </c>
      <c r="I27" s="513"/>
      <c r="J27" s="508"/>
      <c r="K27" s="508"/>
      <c r="L27" s="508"/>
      <c r="M27" s="508"/>
      <c r="N27" s="508"/>
      <c r="O27" s="508"/>
    </row>
    <row r="28" spans="1:16" x14ac:dyDescent="0.2">
      <c r="A28" s="494" t="str">
        <f>'SCP Rates'!I20</f>
        <v>SCP 24</v>
      </c>
      <c r="B28" s="483">
        <f>'SCP Rates'!K20</f>
        <v>56.14</v>
      </c>
      <c r="C28" s="483">
        <f>'SCP Rates'!L20</f>
        <v>42.11</v>
      </c>
      <c r="D28" s="483">
        <f t="shared" si="3"/>
        <v>42.11</v>
      </c>
      <c r="E28" s="483">
        <f t="shared" si="4"/>
        <v>42.11</v>
      </c>
      <c r="F28" s="481">
        <v>0</v>
      </c>
      <c r="G28" s="482">
        <v>0</v>
      </c>
      <c r="I28" s="502"/>
      <c r="J28" s="509"/>
      <c r="K28" s="509"/>
      <c r="L28" s="509"/>
      <c r="M28" s="509"/>
      <c r="N28" s="509"/>
      <c r="O28" s="509"/>
    </row>
    <row r="29" spans="1:16" x14ac:dyDescent="0.2">
      <c r="A29" s="494" t="str">
        <f>'SCP Rates'!I21</f>
        <v>SCP 25</v>
      </c>
      <c r="B29" s="483">
        <f>'SCP Rates'!K21</f>
        <v>58.14</v>
      </c>
      <c r="C29" s="483">
        <f>'SCP Rates'!L21</f>
        <v>43.61</v>
      </c>
      <c r="D29" s="483">
        <f t="shared" si="3"/>
        <v>43.61</v>
      </c>
      <c r="E29" s="483">
        <f t="shared" si="4"/>
        <v>43.61</v>
      </c>
      <c r="F29" s="481">
        <v>0</v>
      </c>
      <c r="G29" s="482">
        <v>0</v>
      </c>
      <c r="I29" s="502"/>
      <c r="J29" s="509"/>
      <c r="K29" s="509"/>
      <c r="L29" s="509"/>
      <c r="M29" s="509"/>
      <c r="N29" s="509"/>
      <c r="O29" s="509"/>
    </row>
    <row r="30" spans="1:16" x14ac:dyDescent="0.2">
      <c r="A30" s="494" t="str">
        <f>'SCP Rates'!I22</f>
        <v>SCP 26</v>
      </c>
      <c r="B30" s="483">
        <f>'SCP Rates'!K22</f>
        <v>60</v>
      </c>
      <c r="C30" s="483">
        <f>'SCP Rates'!L22</f>
        <v>45</v>
      </c>
      <c r="D30" s="483">
        <f t="shared" si="3"/>
        <v>45</v>
      </c>
      <c r="E30" s="483">
        <f t="shared" si="4"/>
        <v>45</v>
      </c>
      <c r="F30" s="481">
        <v>0</v>
      </c>
      <c r="G30" s="482">
        <v>0</v>
      </c>
      <c r="I30" s="502"/>
      <c r="J30" s="507"/>
      <c r="K30" s="507"/>
      <c r="L30" s="507"/>
      <c r="M30" s="507"/>
      <c r="N30" s="507"/>
      <c r="O30" s="507"/>
    </row>
    <row r="31" spans="1:16" x14ac:dyDescent="0.2">
      <c r="A31" s="494" t="str">
        <f>'SCP Rates'!I23</f>
        <v>SCP 27</v>
      </c>
      <c r="B31" s="483">
        <f>'SCP Rates'!K23</f>
        <v>61.8</v>
      </c>
      <c r="C31" s="483">
        <f>'SCP Rates'!L23</f>
        <v>46.35</v>
      </c>
      <c r="D31" s="483">
        <f t="shared" si="3"/>
        <v>46.35</v>
      </c>
      <c r="E31" s="483">
        <f t="shared" si="4"/>
        <v>46.35</v>
      </c>
      <c r="F31" s="481">
        <v>0</v>
      </c>
      <c r="G31" s="482">
        <v>0</v>
      </c>
      <c r="I31" s="514"/>
      <c r="J31" s="509"/>
      <c r="K31" s="509"/>
      <c r="L31" s="509"/>
      <c r="M31" s="509"/>
      <c r="N31" s="509"/>
      <c r="O31" s="509"/>
    </row>
    <row r="32" spans="1:16" x14ac:dyDescent="0.2">
      <c r="A32" s="494" t="str">
        <f>'SCP Rates'!I24</f>
        <v>SCP 28</v>
      </c>
      <c r="B32" s="483">
        <f>'SCP Rates'!K24</f>
        <v>63.58</v>
      </c>
      <c r="C32" s="483">
        <f>'SCP Rates'!L24</f>
        <v>47.69</v>
      </c>
      <c r="D32" s="483">
        <f t="shared" si="3"/>
        <v>47.69</v>
      </c>
      <c r="E32" s="483">
        <f t="shared" si="4"/>
        <v>47.69</v>
      </c>
      <c r="F32" s="481">
        <v>0</v>
      </c>
      <c r="G32" s="482">
        <v>0</v>
      </c>
      <c r="I32" s="514"/>
      <c r="J32" s="509"/>
      <c r="K32" s="509"/>
      <c r="L32" s="509"/>
      <c r="M32" s="509"/>
      <c r="N32" s="509"/>
      <c r="O32" s="509"/>
    </row>
    <row r="33" spans="1:15" x14ac:dyDescent="0.2">
      <c r="A33" s="494" t="str">
        <f>'SCP Rates'!I25</f>
        <v>SCP 29</v>
      </c>
      <c r="B33" s="483">
        <f>'SCP Rates'!K25</f>
        <v>65.36</v>
      </c>
      <c r="C33" s="483">
        <f>'SCP Rates'!L25</f>
        <v>49.02</v>
      </c>
      <c r="D33" s="483">
        <f t="shared" si="3"/>
        <v>49.02</v>
      </c>
      <c r="E33" s="483">
        <f t="shared" si="4"/>
        <v>49.02</v>
      </c>
      <c r="F33" s="481">
        <v>0</v>
      </c>
      <c r="G33" s="482">
        <v>0</v>
      </c>
      <c r="I33" s="514"/>
      <c r="J33" s="509"/>
      <c r="K33" s="509"/>
      <c r="L33" s="509"/>
      <c r="M33" s="509"/>
      <c r="N33" s="509"/>
      <c r="O33" s="509"/>
    </row>
    <row r="34" spans="1:15" x14ac:dyDescent="0.2">
      <c r="A34" s="494" t="str">
        <f>'SCP Rates'!I26</f>
        <v>SCP 30</v>
      </c>
      <c r="B34" s="483">
        <f>'SCP Rates'!K26</f>
        <v>67.180000000000007</v>
      </c>
      <c r="C34" s="483">
        <f>'SCP Rates'!L26</f>
        <v>50.39</v>
      </c>
      <c r="D34" s="483">
        <f t="shared" si="3"/>
        <v>50.39</v>
      </c>
      <c r="E34" s="483">
        <f t="shared" si="4"/>
        <v>50.39</v>
      </c>
      <c r="F34" s="481">
        <v>0</v>
      </c>
      <c r="G34" s="482">
        <v>0</v>
      </c>
      <c r="I34" s="514"/>
      <c r="J34" s="509"/>
      <c r="K34" s="509"/>
      <c r="L34" s="509"/>
      <c r="M34" s="509"/>
      <c r="N34" s="509"/>
      <c r="O34" s="509"/>
    </row>
    <row r="35" spans="1:15" x14ac:dyDescent="0.2">
      <c r="A35" s="494" t="str">
        <f>'SCP Rates'!I27</f>
        <v>SCP 31</v>
      </c>
      <c r="B35" s="483">
        <f>'SCP Rates'!K27</f>
        <v>68.88</v>
      </c>
      <c r="C35" s="483">
        <f>'SCP Rates'!L27</f>
        <v>51.66</v>
      </c>
      <c r="D35" s="483">
        <f t="shared" si="3"/>
        <v>51.66</v>
      </c>
      <c r="E35" s="483">
        <f t="shared" si="4"/>
        <v>51.66</v>
      </c>
      <c r="F35" s="481">
        <v>0</v>
      </c>
      <c r="G35" s="482">
        <v>0</v>
      </c>
    </row>
    <row r="36" spans="1:15" x14ac:dyDescent="0.2">
      <c r="A36" s="519" t="str">
        <f>'SCP Rates'!I28</f>
        <v>SCP 32</v>
      </c>
      <c r="B36" s="487">
        <f>'SCP Rates'!K28</f>
        <v>70.540000000000006</v>
      </c>
      <c r="C36" s="487">
        <f>'SCP Rates'!L28</f>
        <v>52.91</v>
      </c>
      <c r="D36" s="487">
        <f t="shared" si="3"/>
        <v>52.91</v>
      </c>
      <c r="E36" s="487">
        <f t="shared" si="4"/>
        <v>52.91</v>
      </c>
      <c r="F36" s="481">
        <v>0</v>
      </c>
      <c r="G36" s="482">
        <v>0</v>
      </c>
    </row>
    <row r="37" spans="1:15" x14ac:dyDescent="0.2">
      <c r="A37" s="494" t="str">
        <f>'SCP Rates'!I29</f>
        <v>SCP 33</v>
      </c>
      <c r="B37" s="483">
        <f>'SCP Rates'!K29</f>
        <v>72.28</v>
      </c>
      <c r="C37" s="483">
        <f>'SCP Rates'!L29</f>
        <v>54.21</v>
      </c>
      <c r="D37" s="483">
        <f t="shared" si="3"/>
        <v>54.21</v>
      </c>
      <c r="E37" s="483">
        <f t="shared" si="4"/>
        <v>54.21</v>
      </c>
      <c r="F37" s="481">
        <v>0</v>
      </c>
      <c r="G37" s="482">
        <v>0</v>
      </c>
    </row>
    <row r="38" spans="1:15" x14ac:dyDescent="0.2">
      <c r="A38" s="494" t="str">
        <f>'SCP Rates'!I30</f>
        <v>SCP 34</v>
      </c>
      <c r="B38" s="483">
        <f>'SCP Rates'!K30</f>
        <v>74.34</v>
      </c>
      <c r="C38" s="483">
        <f>'SCP Rates'!L30</f>
        <v>55.76</v>
      </c>
      <c r="D38" s="483">
        <f t="shared" si="3"/>
        <v>55.76</v>
      </c>
      <c r="E38" s="483">
        <f t="shared" si="4"/>
        <v>55.76</v>
      </c>
      <c r="F38" s="481">
        <v>0</v>
      </c>
      <c r="G38" s="482">
        <v>0</v>
      </c>
    </row>
    <row r="39" spans="1:15" x14ac:dyDescent="0.2">
      <c r="A39" s="494" t="str">
        <f>'SCP Rates'!I31</f>
        <v>SCP 35</v>
      </c>
      <c r="B39" s="483">
        <f>'SCP Rates'!K31</f>
        <v>76.62</v>
      </c>
      <c r="C39" s="483">
        <f>'SCP Rates'!L31</f>
        <v>57.47</v>
      </c>
      <c r="D39" s="483">
        <f t="shared" si="3"/>
        <v>57.47</v>
      </c>
      <c r="E39" s="483">
        <f t="shared" si="4"/>
        <v>57.47</v>
      </c>
      <c r="F39" s="481">
        <v>0</v>
      </c>
      <c r="G39" s="482">
        <v>0</v>
      </c>
    </row>
    <row r="40" spans="1:15" x14ac:dyDescent="0.2">
      <c r="A40" s="494" t="str">
        <f>'SCP Rates'!I32</f>
        <v>SCP 36</v>
      </c>
      <c r="B40" s="483">
        <f>'SCP Rates'!K32</f>
        <v>78.64</v>
      </c>
      <c r="C40" s="483">
        <f>'SCP Rates'!L32</f>
        <v>58.98</v>
      </c>
      <c r="D40" s="483">
        <f t="shared" si="3"/>
        <v>58.98</v>
      </c>
      <c r="E40" s="483">
        <f t="shared" si="4"/>
        <v>58.98</v>
      </c>
      <c r="F40" s="481">
        <v>0</v>
      </c>
      <c r="G40" s="482">
        <v>0</v>
      </c>
    </row>
    <row r="41" spans="1:15" x14ac:dyDescent="0.2">
      <c r="A41" s="494" t="str">
        <f>'SCP Rates'!I33</f>
        <v>SCP 37</v>
      </c>
      <c r="B41" s="483">
        <f>'SCP Rates'!K33</f>
        <v>80.64</v>
      </c>
      <c r="C41" s="483">
        <f>'SCP Rates'!L33</f>
        <v>60.48</v>
      </c>
      <c r="D41" s="483">
        <f t="shared" si="3"/>
        <v>60.48</v>
      </c>
      <c r="E41" s="483">
        <f t="shared" si="4"/>
        <v>60.48</v>
      </c>
      <c r="F41" s="481">
        <v>0</v>
      </c>
      <c r="G41" s="482">
        <v>0</v>
      </c>
    </row>
    <row r="42" spans="1:15" x14ac:dyDescent="0.2">
      <c r="A42" s="494" t="str">
        <f>'SCP Rates'!I34</f>
        <v>SCP 38</v>
      </c>
      <c r="B42" s="483">
        <f>'SCP Rates'!K34</f>
        <v>82.64</v>
      </c>
      <c r="C42" s="483">
        <f>'SCP Rates'!L34</f>
        <v>61.98</v>
      </c>
      <c r="D42" s="483">
        <f t="shared" si="3"/>
        <v>61.98</v>
      </c>
      <c r="E42" s="483">
        <f t="shared" si="4"/>
        <v>61.98</v>
      </c>
      <c r="F42" s="481">
        <v>0</v>
      </c>
      <c r="G42" s="482">
        <v>0</v>
      </c>
    </row>
    <row r="43" spans="1:15" x14ac:dyDescent="0.2">
      <c r="A43" s="494" t="str">
        <f>'SCP Rates'!I35</f>
        <v>SCP 39</v>
      </c>
      <c r="B43" s="483">
        <f>'SCP Rates'!K35</f>
        <v>84.68</v>
      </c>
      <c r="C43" s="483">
        <f>'SCP Rates'!L35</f>
        <v>63.51</v>
      </c>
      <c r="D43" s="483">
        <f t="shared" si="3"/>
        <v>63.51</v>
      </c>
      <c r="E43" s="483">
        <f t="shared" si="4"/>
        <v>63.51</v>
      </c>
      <c r="F43" s="481">
        <v>0</v>
      </c>
      <c r="G43" s="482">
        <v>0</v>
      </c>
    </row>
    <row r="44" spans="1:15" x14ac:dyDescent="0.2">
      <c r="A44" s="494" t="str">
        <f>'SCP Rates'!I36</f>
        <v>SCP 40</v>
      </c>
      <c r="B44" s="483">
        <f>'SCP Rates'!K36</f>
        <v>86.7</v>
      </c>
      <c r="C44" s="483">
        <f>'SCP Rates'!L36</f>
        <v>65.03</v>
      </c>
      <c r="D44" s="483">
        <f t="shared" si="3"/>
        <v>65.03</v>
      </c>
      <c r="E44" s="483">
        <f t="shared" si="4"/>
        <v>65.03</v>
      </c>
      <c r="F44" s="481">
        <v>0</v>
      </c>
      <c r="G44" s="482">
        <v>0</v>
      </c>
    </row>
    <row r="45" spans="1:15" x14ac:dyDescent="0.2">
      <c r="A45" s="494" t="str">
        <f>'SCP Rates'!I37</f>
        <v>SCP 41</v>
      </c>
      <c r="B45" s="483">
        <f>'SCP Rates'!K37</f>
        <v>88.7</v>
      </c>
      <c r="C45" s="483">
        <f>'SCP Rates'!L37</f>
        <v>66.53</v>
      </c>
      <c r="D45" s="483">
        <f t="shared" si="3"/>
        <v>66.53</v>
      </c>
      <c r="E45" s="483">
        <f t="shared" si="4"/>
        <v>66.53</v>
      </c>
      <c r="F45" s="481">
        <v>0</v>
      </c>
      <c r="G45" s="482">
        <v>0</v>
      </c>
    </row>
    <row r="46" spans="1:15" x14ac:dyDescent="0.2">
      <c r="A46" s="494" t="str">
        <f>'SCP Rates'!I38</f>
        <v>SCP 42</v>
      </c>
      <c r="B46" s="483">
        <f>'SCP Rates'!K38</f>
        <v>90.7</v>
      </c>
      <c r="C46" s="483">
        <f>'SCP Rates'!L38</f>
        <v>68.03</v>
      </c>
      <c r="D46" s="483">
        <f t="shared" si="3"/>
        <v>68.03</v>
      </c>
      <c r="E46" s="483">
        <f t="shared" si="4"/>
        <v>68.03</v>
      </c>
      <c r="F46" s="481">
        <v>0</v>
      </c>
      <c r="G46" s="482">
        <v>0</v>
      </c>
    </row>
    <row r="47" spans="1:15" x14ac:dyDescent="0.2">
      <c r="A47" s="494" t="str">
        <f>'SCP Rates'!I39</f>
        <v>SCP 43</v>
      </c>
      <c r="B47" s="483">
        <f>'SCP Rates'!K39</f>
        <v>92.72</v>
      </c>
      <c r="C47" s="483">
        <f>'SCP Rates'!L39</f>
        <v>69.540000000000006</v>
      </c>
      <c r="D47" s="483">
        <f t="shared" si="3"/>
        <v>69.540000000000006</v>
      </c>
      <c r="E47" s="483">
        <f t="shared" si="4"/>
        <v>69.540000000000006</v>
      </c>
      <c r="F47" s="481">
        <v>0</v>
      </c>
      <c r="G47" s="482">
        <v>0</v>
      </c>
    </row>
    <row r="48" spans="1:15" x14ac:dyDescent="0.2">
      <c r="A48" s="519" t="str">
        <f>'SCP Rates'!I40</f>
        <v>SCP 44</v>
      </c>
      <c r="B48" s="487">
        <f>'SCP Rates'!K40</f>
        <v>94.72</v>
      </c>
      <c r="C48" s="487">
        <f>'SCP Rates'!L40</f>
        <v>71.040000000000006</v>
      </c>
      <c r="D48" s="487">
        <f t="shared" si="3"/>
        <v>71.040000000000006</v>
      </c>
      <c r="E48" s="487">
        <f t="shared" si="4"/>
        <v>71.040000000000006</v>
      </c>
      <c r="F48" s="481">
        <v>0</v>
      </c>
      <c r="G48" s="482">
        <v>0</v>
      </c>
    </row>
    <row r="49" spans="1:7" ht="13.5" thickBot="1" x14ac:dyDescent="0.25">
      <c r="A49" s="498" t="str">
        <f>'SCP Rates'!I41</f>
        <v>SCP 45</v>
      </c>
      <c r="B49" s="484">
        <f>'SCP Rates'!K41</f>
        <v>96.72</v>
      </c>
      <c r="C49" s="484">
        <f>'SCP Rates'!L41</f>
        <v>72.540000000000006</v>
      </c>
      <c r="D49" s="484">
        <f t="shared" si="3"/>
        <v>72.540000000000006</v>
      </c>
      <c r="E49" s="484">
        <f t="shared" si="4"/>
        <v>72.540000000000006</v>
      </c>
      <c r="F49" s="485">
        <v>0</v>
      </c>
      <c r="G49" s="486">
        <v>0</v>
      </c>
    </row>
  </sheetData>
  <mergeCells count="5">
    <mergeCell ref="Q2:S2"/>
    <mergeCell ref="T2:V2"/>
    <mergeCell ref="N2:P2"/>
    <mergeCell ref="J1:V1"/>
    <mergeCell ref="J2:M2"/>
  </mergeCell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sheetPr>
  <dimension ref="A2:Q81"/>
  <sheetViews>
    <sheetView topLeftCell="A28" workbookViewId="0">
      <selection activeCell="D4" sqref="D4:J11"/>
    </sheetView>
  </sheetViews>
  <sheetFormatPr defaultColWidth="8.88671875" defaultRowHeight="12.75" x14ac:dyDescent="0.2"/>
  <cols>
    <col min="1" max="1" width="28.21875" style="7" bestFit="1" customWidth="1"/>
    <col min="2" max="2" width="9.33203125" style="5" bestFit="1" customWidth="1"/>
    <col min="3" max="6" width="8.88671875" style="5"/>
    <col min="7" max="7" width="31.5546875" style="424" bestFit="1" customWidth="1"/>
    <col min="8" max="8" width="12.21875" style="424" bestFit="1" customWidth="1"/>
    <col min="9" max="9" width="14.77734375" style="425" bestFit="1" customWidth="1"/>
    <col min="10" max="10" width="2" style="5" customWidth="1"/>
    <col min="11" max="11" width="26.77734375" style="5" bestFit="1" customWidth="1"/>
    <col min="12" max="12" width="12.21875" style="5" bestFit="1" customWidth="1"/>
    <col min="13" max="13" width="14.77734375" style="5" bestFit="1" customWidth="1"/>
    <col min="14" max="14" width="2.88671875" style="5" customWidth="1"/>
    <col min="15" max="15" width="26.77734375" style="5" bestFit="1" customWidth="1"/>
    <col min="16" max="16" width="11" style="5" bestFit="1" customWidth="1"/>
    <col min="17" max="16384" width="8.88671875" style="5"/>
  </cols>
  <sheetData>
    <row r="2" spans="1:17" x14ac:dyDescent="0.2">
      <c r="A2" s="6" t="s">
        <v>113</v>
      </c>
      <c r="B2" s="6" t="s">
        <v>114</v>
      </c>
      <c r="G2" s="524" t="s">
        <v>416</v>
      </c>
      <c r="K2" s="524" t="s">
        <v>422</v>
      </c>
      <c r="L2" s="424"/>
      <c r="M2" s="425"/>
    </row>
    <row r="3" spans="1:17" ht="18" customHeight="1" x14ac:dyDescent="0.2">
      <c r="A3" s="7" t="s">
        <v>115</v>
      </c>
      <c r="B3" s="6" t="s">
        <v>106</v>
      </c>
      <c r="G3" s="522" t="s">
        <v>398</v>
      </c>
      <c r="H3" s="523" t="s">
        <v>209</v>
      </c>
      <c r="I3" s="523" t="s">
        <v>399</v>
      </c>
      <c r="K3" s="522" t="s">
        <v>398</v>
      </c>
      <c r="L3" s="523" t="s">
        <v>209</v>
      </c>
      <c r="M3" s="523" t="s">
        <v>399</v>
      </c>
    </row>
    <row r="4" spans="1:17" ht="15.75" x14ac:dyDescent="0.2">
      <c r="A4" s="7" t="s">
        <v>116</v>
      </c>
      <c r="B4" s="5" t="s">
        <v>117</v>
      </c>
      <c r="G4" s="429" t="s">
        <v>212</v>
      </c>
      <c r="H4" s="428">
        <v>62</v>
      </c>
      <c r="I4" s="428">
        <v>5</v>
      </c>
      <c r="K4" s="429" t="s">
        <v>212</v>
      </c>
      <c r="L4" s="428">
        <f>ROUND((H4*1.05),0)</f>
        <v>65</v>
      </c>
      <c r="M4" s="428">
        <v>5</v>
      </c>
    </row>
    <row r="5" spans="1:17" ht="15.75" x14ac:dyDescent="0.2">
      <c r="A5" s="7" t="s">
        <v>118</v>
      </c>
      <c r="B5" s="5" t="s">
        <v>119</v>
      </c>
      <c r="G5" s="429" t="s">
        <v>213</v>
      </c>
      <c r="H5" s="428">
        <v>38</v>
      </c>
      <c r="I5" s="428">
        <v>6</v>
      </c>
      <c r="K5" s="429" t="s">
        <v>213</v>
      </c>
      <c r="L5" s="428">
        <f t="shared" ref="L5:L12" si="0">ROUND((H5*1.05),0)</f>
        <v>40</v>
      </c>
      <c r="M5" s="428">
        <v>6</v>
      </c>
    </row>
    <row r="6" spans="1:17" ht="15.75" x14ac:dyDescent="0.2">
      <c r="A6" s="7" t="s">
        <v>120</v>
      </c>
      <c r="B6" s="5" t="s">
        <v>121</v>
      </c>
      <c r="G6" s="429" t="s">
        <v>403</v>
      </c>
      <c r="H6" s="428">
        <v>51</v>
      </c>
      <c r="I6" s="428" t="s">
        <v>158</v>
      </c>
      <c r="K6" s="429" t="s">
        <v>403</v>
      </c>
      <c r="L6" s="428">
        <f t="shared" si="0"/>
        <v>54</v>
      </c>
      <c r="M6" s="428" t="s">
        <v>158</v>
      </c>
    </row>
    <row r="7" spans="1:17" ht="15.75" x14ac:dyDescent="0.2">
      <c r="A7" s="7" t="s">
        <v>122</v>
      </c>
      <c r="B7" s="5" t="s">
        <v>123</v>
      </c>
      <c r="G7" s="429" t="s">
        <v>214</v>
      </c>
      <c r="H7" s="428">
        <v>43</v>
      </c>
      <c r="I7" s="428">
        <v>6</v>
      </c>
      <c r="K7" s="429" t="s">
        <v>214</v>
      </c>
      <c r="L7" s="428">
        <f t="shared" si="0"/>
        <v>45</v>
      </c>
      <c r="M7" s="428">
        <v>6</v>
      </c>
    </row>
    <row r="8" spans="1:17" ht="15.75" x14ac:dyDescent="0.2">
      <c r="G8" s="429" t="s">
        <v>201</v>
      </c>
      <c r="H8" s="428">
        <v>33</v>
      </c>
      <c r="I8" s="428">
        <v>7</v>
      </c>
      <c r="K8" s="429" t="s">
        <v>201</v>
      </c>
      <c r="L8" s="428">
        <f t="shared" si="0"/>
        <v>35</v>
      </c>
      <c r="M8" s="428">
        <v>7</v>
      </c>
    </row>
    <row r="9" spans="1:17" ht="15.75" x14ac:dyDescent="0.2">
      <c r="G9" s="429" t="s">
        <v>215</v>
      </c>
      <c r="H9" s="428">
        <v>33</v>
      </c>
      <c r="I9" s="428">
        <v>8</v>
      </c>
      <c r="K9" s="429" t="s">
        <v>215</v>
      </c>
      <c r="L9" s="428">
        <f t="shared" si="0"/>
        <v>35</v>
      </c>
      <c r="M9" s="428">
        <v>8</v>
      </c>
    </row>
    <row r="10" spans="1:17" ht="15.75" x14ac:dyDescent="0.2">
      <c r="A10" s="6" t="s">
        <v>124</v>
      </c>
      <c r="B10" s="6" t="s">
        <v>114</v>
      </c>
      <c r="G10" s="429" t="s">
        <v>216</v>
      </c>
      <c r="H10" s="428">
        <v>51</v>
      </c>
      <c r="I10" s="428">
        <v>5</v>
      </c>
      <c r="K10" s="429" t="s">
        <v>216</v>
      </c>
      <c r="L10" s="428">
        <f t="shared" si="0"/>
        <v>54</v>
      </c>
      <c r="M10" s="428">
        <v>5</v>
      </c>
    </row>
    <row r="11" spans="1:17" ht="15.75" x14ac:dyDescent="0.2">
      <c r="A11" s="7" t="s">
        <v>125</v>
      </c>
      <c r="G11" s="429" t="s">
        <v>217</v>
      </c>
      <c r="H11" s="428">
        <v>62</v>
      </c>
      <c r="I11" s="428">
        <v>4</v>
      </c>
      <c r="K11" s="429" t="s">
        <v>217</v>
      </c>
      <c r="L11" s="428">
        <f t="shared" si="0"/>
        <v>65</v>
      </c>
      <c r="M11" s="428">
        <v>4</v>
      </c>
    </row>
    <row r="12" spans="1:17" ht="15.75" x14ac:dyDescent="0.2">
      <c r="A12" s="7" t="s">
        <v>126</v>
      </c>
      <c r="B12" s="5" t="s">
        <v>124</v>
      </c>
      <c r="G12" s="429" t="s">
        <v>400</v>
      </c>
      <c r="H12" s="428">
        <v>124</v>
      </c>
      <c r="I12" s="428" t="s">
        <v>158</v>
      </c>
      <c r="K12" s="429" t="s">
        <v>400</v>
      </c>
      <c r="L12" s="428">
        <f t="shared" si="0"/>
        <v>130</v>
      </c>
      <c r="M12" s="428" t="s">
        <v>158</v>
      </c>
    </row>
    <row r="13" spans="1:17" ht="15.75" x14ac:dyDescent="0.2">
      <c r="A13" s="7" t="s">
        <v>127</v>
      </c>
      <c r="B13" s="5" t="s">
        <v>124</v>
      </c>
      <c r="G13" s="429" t="s">
        <v>401</v>
      </c>
      <c r="H13" s="428" t="s">
        <v>402</v>
      </c>
      <c r="I13" s="428" t="s">
        <v>402</v>
      </c>
      <c r="K13" s="429" t="s">
        <v>401</v>
      </c>
      <c r="L13" s="428" t="s">
        <v>402</v>
      </c>
      <c r="M13" s="428" t="s">
        <v>402</v>
      </c>
    </row>
    <row r="14" spans="1:17" x14ac:dyDescent="0.2">
      <c r="A14" s="7" t="s">
        <v>390</v>
      </c>
      <c r="B14" s="5" t="s">
        <v>124</v>
      </c>
    </row>
    <row r="15" spans="1:17" x14ac:dyDescent="0.2">
      <c r="A15" s="7" t="s">
        <v>128</v>
      </c>
      <c r="B15" s="5" t="s">
        <v>129</v>
      </c>
    </row>
    <row r="16" spans="1:17" x14ac:dyDescent="0.2">
      <c r="G16" s="524" t="s">
        <v>413</v>
      </c>
      <c r="K16" s="524" t="s">
        <v>414</v>
      </c>
      <c r="L16" s="424"/>
      <c r="M16" s="425"/>
      <c r="O16" s="524" t="s">
        <v>415</v>
      </c>
      <c r="P16" s="424"/>
      <c r="Q16" s="425"/>
    </row>
    <row r="17" spans="1:17" ht="25.5" x14ac:dyDescent="0.2">
      <c r="G17" s="522" t="s">
        <v>398</v>
      </c>
      <c r="H17" s="523" t="s">
        <v>209</v>
      </c>
      <c r="I17" s="523" t="s">
        <v>399</v>
      </c>
      <c r="K17" s="520" t="s">
        <v>398</v>
      </c>
      <c r="L17" s="521" t="s">
        <v>209</v>
      </c>
      <c r="M17" s="521" t="s">
        <v>399</v>
      </c>
      <c r="O17" s="520" t="s">
        <v>398</v>
      </c>
      <c r="P17" s="520" t="s">
        <v>209</v>
      </c>
      <c r="Q17" s="520" t="s">
        <v>399</v>
      </c>
    </row>
    <row r="18" spans="1:17" ht="15.75" x14ac:dyDescent="0.2">
      <c r="G18" s="429" t="s">
        <v>212</v>
      </c>
      <c r="H18" s="428">
        <v>59</v>
      </c>
      <c r="I18" s="428">
        <v>5</v>
      </c>
      <c r="K18" s="426" t="s">
        <v>212</v>
      </c>
      <c r="L18" s="427">
        <v>56</v>
      </c>
      <c r="M18" s="427">
        <v>5</v>
      </c>
      <c r="O18" s="426" t="s">
        <v>212</v>
      </c>
      <c r="P18" s="427">
        <v>55</v>
      </c>
      <c r="Q18" s="427">
        <v>5</v>
      </c>
    </row>
    <row r="19" spans="1:17" ht="16.5" thickBot="1" x14ac:dyDescent="0.25">
      <c r="G19" s="429" t="s">
        <v>213</v>
      </c>
      <c r="H19" s="428">
        <v>36</v>
      </c>
      <c r="I19" s="428">
        <v>6</v>
      </c>
      <c r="K19" s="426" t="s">
        <v>213</v>
      </c>
      <c r="L19" s="427">
        <v>34</v>
      </c>
      <c r="M19" s="427">
        <v>6</v>
      </c>
      <c r="O19" s="426" t="s">
        <v>213</v>
      </c>
      <c r="P19" s="427">
        <v>33</v>
      </c>
      <c r="Q19" s="427">
        <v>6</v>
      </c>
    </row>
    <row r="20" spans="1:17" ht="26.25" thickTop="1" x14ac:dyDescent="0.2">
      <c r="A20" s="525" t="s">
        <v>208</v>
      </c>
      <c r="B20" s="525" t="s">
        <v>209</v>
      </c>
      <c r="C20" s="525" t="s">
        <v>210</v>
      </c>
      <c r="D20" s="526" t="s">
        <v>211</v>
      </c>
      <c r="G20" s="429" t="s">
        <v>403</v>
      </c>
      <c r="H20" s="428">
        <v>48</v>
      </c>
      <c r="I20" s="428" t="s">
        <v>158</v>
      </c>
      <c r="K20" s="426" t="s">
        <v>403</v>
      </c>
      <c r="L20" s="427">
        <v>45</v>
      </c>
      <c r="M20" s="427" t="s">
        <v>158</v>
      </c>
      <c r="O20" s="426" t="s">
        <v>403</v>
      </c>
      <c r="P20" s="427">
        <v>44</v>
      </c>
      <c r="Q20" s="427" t="s">
        <v>158</v>
      </c>
    </row>
    <row r="21" spans="1:17" ht="21.75" customHeight="1" x14ac:dyDescent="0.2">
      <c r="A21" s="527" t="s">
        <v>191</v>
      </c>
      <c r="B21" s="527"/>
      <c r="C21" s="527"/>
      <c r="D21" s="528"/>
      <c r="G21" s="429" t="s">
        <v>214</v>
      </c>
      <c r="H21" s="428">
        <v>41</v>
      </c>
      <c r="I21" s="428">
        <v>6</v>
      </c>
      <c r="K21" s="426" t="s">
        <v>214</v>
      </c>
      <c r="L21" s="427">
        <v>39</v>
      </c>
      <c r="M21" s="427">
        <v>6</v>
      </c>
      <c r="O21" s="426" t="s">
        <v>214</v>
      </c>
      <c r="P21" s="427">
        <v>38</v>
      </c>
      <c r="Q21" s="427">
        <v>6</v>
      </c>
    </row>
    <row r="22" spans="1:17" ht="15.75" x14ac:dyDescent="0.2">
      <c r="A22" s="44" t="s">
        <v>212</v>
      </c>
      <c r="B22" s="45">
        <f>L4</f>
        <v>65</v>
      </c>
      <c r="C22" s="46">
        <v>5</v>
      </c>
      <c r="D22" s="47">
        <f>'MA CLAIM FORM'!$E$129/C22</f>
        <v>0.29731999999999997</v>
      </c>
      <c r="G22" s="429" t="s">
        <v>201</v>
      </c>
      <c r="H22" s="428">
        <v>31</v>
      </c>
      <c r="I22" s="428">
        <v>7</v>
      </c>
      <c r="K22" s="426" t="s">
        <v>201</v>
      </c>
      <c r="L22" s="427">
        <v>29</v>
      </c>
      <c r="M22" s="427">
        <v>7</v>
      </c>
      <c r="O22" s="426" t="s">
        <v>201</v>
      </c>
      <c r="P22" s="427">
        <v>28</v>
      </c>
      <c r="Q22" s="427">
        <v>7</v>
      </c>
    </row>
    <row r="23" spans="1:17" ht="15.75" x14ac:dyDescent="0.2">
      <c r="A23" s="44" t="s">
        <v>213</v>
      </c>
      <c r="B23" s="529">
        <f t="shared" ref="B23:B30" si="1">L5</f>
        <v>40</v>
      </c>
      <c r="C23" s="46">
        <v>6</v>
      </c>
      <c r="D23" s="47">
        <f>'MA CLAIM FORM'!$E$129/C23</f>
        <v>0.24776666666666666</v>
      </c>
      <c r="G23" s="429" t="s">
        <v>215</v>
      </c>
      <c r="H23" s="428">
        <v>31</v>
      </c>
      <c r="I23" s="428">
        <v>8</v>
      </c>
      <c r="K23" s="426" t="s">
        <v>215</v>
      </c>
      <c r="L23" s="427">
        <v>29</v>
      </c>
      <c r="M23" s="427">
        <v>8</v>
      </c>
      <c r="O23" s="426" t="s">
        <v>215</v>
      </c>
      <c r="P23" s="427">
        <v>28</v>
      </c>
      <c r="Q23" s="427">
        <v>8</v>
      </c>
    </row>
    <row r="24" spans="1:17" ht="15.75" x14ac:dyDescent="0.2">
      <c r="A24" s="44" t="s">
        <v>403</v>
      </c>
      <c r="B24" s="529">
        <f t="shared" si="1"/>
        <v>54</v>
      </c>
      <c r="C24" s="423" t="s">
        <v>158</v>
      </c>
      <c r="D24" s="47"/>
      <c r="G24" s="429" t="s">
        <v>216</v>
      </c>
      <c r="H24" s="428">
        <v>48</v>
      </c>
      <c r="I24" s="428">
        <v>5</v>
      </c>
      <c r="K24" s="426" t="s">
        <v>216</v>
      </c>
      <c r="L24" s="427">
        <v>45</v>
      </c>
      <c r="M24" s="427">
        <v>5</v>
      </c>
      <c r="O24" s="426" t="s">
        <v>216</v>
      </c>
      <c r="P24" s="427">
        <v>44</v>
      </c>
      <c r="Q24" s="427">
        <v>5</v>
      </c>
    </row>
    <row r="25" spans="1:17" ht="15.75" x14ac:dyDescent="0.2">
      <c r="A25" s="44" t="s">
        <v>214</v>
      </c>
      <c r="B25" s="529">
        <f t="shared" si="1"/>
        <v>45</v>
      </c>
      <c r="C25" s="46">
        <v>6</v>
      </c>
      <c r="D25" s="47">
        <f>'MA CLAIM FORM'!$E$129/C25</f>
        <v>0.24776666666666666</v>
      </c>
      <c r="G25" s="429" t="s">
        <v>217</v>
      </c>
      <c r="H25" s="428">
        <v>59</v>
      </c>
      <c r="I25" s="428">
        <v>4</v>
      </c>
      <c r="K25" s="426" t="s">
        <v>217</v>
      </c>
      <c r="L25" s="427">
        <v>56</v>
      </c>
      <c r="M25" s="427">
        <v>4</v>
      </c>
      <c r="O25" s="426" t="s">
        <v>217</v>
      </c>
      <c r="P25" s="427">
        <v>55</v>
      </c>
      <c r="Q25" s="427">
        <v>4</v>
      </c>
    </row>
    <row r="26" spans="1:17" ht="15.75" x14ac:dyDescent="0.2">
      <c r="A26" s="44" t="s">
        <v>201</v>
      </c>
      <c r="B26" s="529">
        <f t="shared" si="1"/>
        <v>35</v>
      </c>
      <c r="C26" s="46">
        <v>7</v>
      </c>
      <c r="D26" s="47">
        <f>'MA CLAIM FORM'!$E$129/C26</f>
        <v>0.21237142857142857</v>
      </c>
      <c r="G26" s="429" t="s">
        <v>400</v>
      </c>
      <c r="H26" s="428">
        <v>118</v>
      </c>
      <c r="I26" s="428" t="s">
        <v>158</v>
      </c>
      <c r="K26" s="426" t="s">
        <v>400</v>
      </c>
      <c r="L26" s="427">
        <v>112</v>
      </c>
      <c r="M26" s="427" t="s">
        <v>158</v>
      </c>
      <c r="O26" s="426" t="s">
        <v>400</v>
      </c>
      <c r="P26" s="427">
        <v>110</v>
      </c>
      <c r="Q26" s="427" t="s">
        <v>158</v>
      </c>
    </row>
    <row r="27" spans="1:17" ht="15.75" x14ac:dyDescent="0.2">
      <c r="A27" s="44" t="s">
        <v>215</v>
      </c>
      <c r="B27" s="529">
        <f t="shared" si="1"/>
        <v>35</v>
      </c>
      <c r="C27" s="46">
        <v>8</v>
      </c>
      <c r="D27" s="47">
        <f>'MA CLAIM FORM'!$E$128/C27</f>
        <v>0.17597499999999999</v>
      </c>
      <c r="G27" s="429" t="s">
        <v>401</v>
      </c>
      <c r="H27" s="428" t="s">
        <v>402</v>
      </c>
      <c r="I27" s="428" t="s">
        <v>402</v>
      </c>
      <c r="K27" s="426" t="s">
        <v>401</v>
      </c>
      <c r="L27" s="427" t="s">
        <v>402</v>
      </c>
      <c r="M27" s="427" t="s">
        <v>402</v>
      </c>
      <c r="O27" s="426" t="s">
        <v>401</v>
      </c>
      <c r="P27" s="427" t="s">
        <v>402</v>
      </c>
      <c r="Q27" s="427" t="s">
        <v>402</v>
      </c>
    </row>
    <row r="28" spans="1:17" ht="15" x14ac:dyDescent="0.2">
      <c r="A28" s="44" t="s">
        <v>216</v>
      </c>
      <c r="B28" s="529">
        <f t="shared" si="1"/>
        <v>54</v>
      </c>
      <c r="C28" s="46">
        <v>5</v>
      </c>
      <c r="D28" s="47">
        <f>'MA CLAIM FORM'!$E$129/C28</f>
        <v>0.29731999999999997</v>
      </c>
    </row>
    <row r="29" spans="1:17" ht="15" x14ac:dyDescent="0.2">
      <c r="A29" s="44" t="s">
        <v>217</v>
      </c>
      <c r="B29" s="529">
        <f t="shared" si="1"/>
        <v>65</v>
      </c>
      <c r="C29" s="46">
        <v>4</v>
      </c>
      <c r="D29" s="47">
        <f>'MA CLAIM FORM'!$E$129/C29</f>
        <v>0.37164999999999998</v>
      </c>
    </row>
    <row r="30" spans="1:17" ht="15" x14ac:dyDescent="0.2">
      <c r="A30" s="44" t="s">
        <v>218</v>
      </c>
      <c r="B30" s="529">
        <f t="shared" si="1"/>
        <v>130</v>
      </c>
      <c r="C30" s="46">
        <v>3.5</v>
      </c>
      <c r="D30" s="47">
        <f>'MA CLAIM FORM'!$E$129/C30</f>
        <v>0.42474285714285714</v>
      </c>
    </row>
    <row r="31" spans="1:17" ht="15.75" thickBot="1" x14ac:dyDescent="0.25">
      <c r="A31" s="48"/>
      <c r="B31" s="49"/>
      <c r="C31" s="50"/>
      <c r="D31" s="51"/>
    </row>
    <row r="32" spans="1:17" ht="15.75" thickTop="1" x14ac:dyDescent="0.2">
      <c r="A32" s="60"/>
      <c r="B32" s="52"/>
      <c r="C32"/>
      <c r="D32" s="919"/>
    </row>
    <row r="33" spans="1:4" ht="15.75" thickBot="1" x14ac:dyDescent="0.25">
      <c r="A33" s="60"/>
      <c r="B33" s="52"/>
      <c r="C33"/>
      <c r="D33" s="920"/>
    </row>
    <row r="40" spans="1:4" x14ac:dyDescent="0.2">
      <c r="A40" s="921" t="s">
        <v>224</v>
      </c>
      <c r="B40" s="921"/>
    </row>
    <row r="41" spans="1:4" x14ac:dyDescent="0.2">
      <c r="A41" s="56" t="s">
        <v>191</v>
      </c>
      <c r="B41" s="55"/>
    </row>
    <row r="42" spans="1:4" ht="15" x14ac:dyDescent="0.2">
      <c r="A42" s="53" t="s">
        <v>327</v>
      </c>
      <c r="B42" s="54">
        <v>50</v>
      </c>
      <c r="C42" s="57">
        <f>B42*13.8%</f>
        <v>6.9</v>
      </c>
    </row>
    <row r="43" spans="1:4" ht="15" x14ac:dyDescent="0.2">
      <c r="A43" s="53" t="s">
        <v>326</v>
      </c>
      <c r="B43" s="54">
        <v>80</v>
      </c>
      <c r="C43" s="57">
        <f>B43*13.8%</f>
        <v>11.040000000000001</v>
      </c>
    </row>
    <row r="44" spans="1:4" ht="15" x14ac:dyDescent="0.2">
      <c r="A44" s="53" t="s">
        <v>328</v>
      </c>
      <c r="B44" s="54">
        <v>30</v>
      </c>
      <c r="C44" s="57">
        <f>B44*13.8%</f>
        <v>4.1400000000000006</v>
      </c>
    </row>
    <row r="45" spans="1:4" ht="15" x14ac:dyDescent="0.2">
      <c r="A45" s="53" t="s">
        <v>423</v>
      </c>
      <c r="B45" s="54">
        <v>40</v>
      </c>
      <c r="C45" s="57"/>
    </row>
    <row r="46" spans="1:4" ht="15" x14ac:dyDescent="0.2">
      <c r="A46" s="53" t="s">
        <v>424</v>
      </c>
      <c r="B46" s="54">
        <v>90</v>
      </c>
      <c r="C46" s="57"/>
    </row>
    <row r="47" spans="1:4" ht="15" x14ac:dyDescent="0.2">
      <c r="A47" s="53" t="s">
        <v>225</v>
      </c>
      <c r="B47" s="54"/>
    </row>
    <row r="48" spans="1:4" ht="15" x14ac:dyDescent="0.2">
      <c r="A48" s="53" t="s">
        <v>226</v>
      </c>
      <c r="B48" s="54"/>
    </row>
    <row r="49" spans="1:2" ht="15" x14ac:dyDescent="0.2">
      <c r="A49" s="61"/>
      <c r="B49" s="54"/>
    </row>
    <row r="50" spans="1:2" ht="15" x14ac:dyDescent="0.2">
      <c r="A50" s="61"/>
      <c r="B50" s="54"/>
    </row>
    <row r="53" spans="1:2" x14ac:dyDescent="0.2">
      <c r="A53" s="58" t="s">
        <v>113</v>
      </c>
      <c r="B53" s="58" t="s">
        <v>114</v>
      </c>
    </row>
    <row r="54" spans="1:2" x14ac:dyDescent="0.2">
      <c r="A54" s="59" t="s">
        <v>239</v>
      </c>
      <c r="B54" s="58" t="s">
        <v>106</v>
      </c>
    </row>
    <row r="55" spans="1:2" ht="15" x14ac:dyDescent="0.2">
      <c r="A55" s="62" t="s">
        <v>279</v>
      </c>
      <c r="B55"/>
    </row>
    <row r="56" spans="1:2" ht="15" x14ac:dyDescent="0.2">
      <c r="A56" s="62"/>
      <c r="B56"/>
    </row>
    <row r="57" spans="1:2" ht="15" x14ac:dyDescent="0.2">
      <c r="A57" s="62"/>
      <c r="B57"/>
    </row>
    <row r="58" spans="1:2" ht="15" x14ac:dyDescent="0.2">
      <c r="A58" s="62"/>
      <c r="B58"/>
    </row>
    <row r="59" spans="1:2" ht="15" x14ac:dyDescent="0.2">
      <c r="A59" s="62"/>
      <c r="B59"/>
    </row>
    <row r="60" spans="1:2" x14ac:dyDescent="0.2">
      <c r="A60" s="58" t="s">
        <v>124</v>
      </c>
      <c r="B60" s="58" t="s">
        <v>114</v>
      </c>
    </row>
    <row r="61" spans="1:2" x14ac:dyDescent="0.2">
      <c r="A61" s="59" t="s">
        <v>234</v>
      </c>
      <c r="B61" s="58"/>
    </row>
    <row r="62" spans="1:2" x14ac:dyDescent="0.2">
      <c r="A62" s="59" t="s">
        <v>235</v>
      </c>
      <c r="B62" s="58"/>
    </row>
    <row r="63" spans="1:2" ht="15" x14ac:dyDescent="0.2">
      <c r="A63" s="62" t="s">
        <v>126</v>
      </c>
      <c r="B63"/>
    </row>
    <row r="64" spans="1:2" ht="15" x14ac:dyDescent="0.2">
      <c r="A64" s="62" t="s">
        <v>206</v>
      </c>
      <c r="B64"/>
    </row>
    <row r="65" spans="1:2" ht="15" x14ac:dyDescent="0.2">
      <c r="A65" s="62" t="s">
        <v>207</v>
      </c>
      <c r="B65"/>
    </row>
    <row r="66" spans="1:2" ht="15" x14ac:dyDescent="0.2">
      <c r="A66" s="62" t="s">
        <v>236</v>
      </c>
      <c r="B66"/>
    </row>
    <row r="67" spans="1:2" ht="15" x14ac:dyDescent="0.2">
      <c r="A67" s="62" t="s">
        <v>390</v>
      </c>
      <c r="B67"/>
    </row>
    <row r="68" spans="1:2" ht="15" x14ac:dyDescent="0.2">
      <c r="A68" s="62" t="s">
        <v>128</v>
      </c>
      <c r="B68"/>
    </row>
    <row r="70" spans="1:2" x14ac:dyDescent="0.2">
      <c r="A70" s="58" t="s">
        <v>280</v>
      </c>
      <c r="B70" s="58" t="s">
        <v>114</v>
      </c>
    </row>
    <row r="71" spans="1:2" x14ac:dyDescent="0.2">
      <c r="A71" s="59" t="s">
        <v>239</v>
      </c>
      <c r="B71" s="58"/>
    </row>
    <row r="72" spans="1:2" x14ac:dyDescent="0.2">
      <c r="A72" s="62" t="s">
        <v>310</v>
      </c>
      <c r="B72" s="247">
        <f>ROUND('TDR RESOURCES'!L41,0)</f>
        <v>0</v>
      </c>
    </row>
    <row r="73" spans="1:2" x14ac:dyDescent="0.2">
      <c r="A73" s="62" t="s">
        <v>123</v>
      </c>
      <c r="B73" s="247">
        <f>ROUND('TDR RESOURCES'!L59,0)</f>
        <v>0</v>
      </c>
    </row>
    <row r="76" spans="1:2" x14ac:dyDescent="0.2">
      <c r="A76" s="7" t="s">
        <v>290</v>
      </c>
    </row>
    <row r="77" spans="1:2" x14ac:dyDescent="0.2">
      <c r="A77" s="59" t="s">
        <v>239</v>
      </c>
    </row>
    <row r="78" spans="1:2" x14ac:dyDescent="0.2">
      <c r="A78" s="34" t="s">
        <v>184</v>
      </c>
    </row>
    <row r="79" spans="1:2" x14ac:dyDescent="0.2">
      <c r="A79" s="198" t="s">
        <v>112</v>
      </c>
    </row>
    <row r="80" spans="1:2" x14ac:dyDescent="0.2">
      <c r="A80" s="34" t="s">
        <v>188</v>
      </c>
    </row>
    <row r="81" spans="1:1" x14ac:dyDescent="0.2">
      <c r="A81" s="32" t="s">
        <v>258</v>
      </c>
    </row>
  </sheetData>
  <sortState ref="A40:C44">
    <sortCondition ref="A40:A44"/>
  </sortState>
  <mergeCells count="2">
    <mergeCell ref="D32:D33"/>
    <mergeCell ref="A40:B40"/>
  </mergeCells>
  <pageMargins left="0.75" right="0.75" top="1" bottom="1" header="0.5" footer="0.5"/>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sheetPr>
  <dimension ref="A1:H60"/>
  <sheetViews>
    <sheetView showGridLines="0" topLeftCell="A19" zoomScaleNormal="100" workbookViewId="0">
      <selection activeCell="C24" sqref="C24"/>
    </sheetView>
  </sheetViews>
  <sheetFormatPr defaultColWidth="8.88671875" defaultRowHeight="58.5" customHeight="1" x14ac:dyDescent="0.25"/>
  <cols>
    <col min="1" max="1" width="57.21875" style="1" customWidth="1"/>
    <col min="2" max="2" width="8.21875" style="2" customWidth="1"/>
    <col min="3" max="16384" width="8.88671875" style="3"/>
  </cols>
  <sheetData>
    <row r="1" spans="1:8" ht="58.5" customHeight="1" x14ac:dyDescent="0.25">
      <c r="A1" s="1" t="s">
        <v>5</v>
      </c>
      <c r="B1" s="2" t="s">
        <v>6</v>
      </c>
    </row>
    <row r="2" spans="1:8" ht="58.5" customHeight="1" x14ac:dyDescent="0.25">
      <c r="A2" s="4" t="s">
        <v>7</v>
      </c>
      <c r="G2"/>
    </row>
    <row r="3" spans="1:8" ht="58.5" customHeight="1" x14ac:dyDescent="0.25">
      <c r="A3" s="1" t="s">
        <v>8</v>
      </c>
      <c r="C3" s="3" t="s">
        <v>9</v>
      </c>
      <c r="F3"/>
    </row>
    <row r="4" spans="1:8" ht="58.5" customHeight="1" x14ac:dyDescent="0.25">
      <c r="A4" s="1" t="s">
        <v>11</v>
      </c>
      <c r="C4" s="3" t="s">
        <v>12</v>
      </c>
    </row>
    <row r="5" spans="1:8" ht="58.5" customHeight="1" x14ac:dyDescent="0.25">
      <c r="A5" s="1" t="s">
        <v>15</v>
      </c>
      <c r="C5" s="3" t="s">
        <v>16</v>
      </c>
      <c r="F5"/>
      <c r="H5"/>
    </row>
    <row r="6" spans="1:8" ht="58.5" customHeight="1" x14ac:dyDescent="0.25">
      <c r="A6" s="1" t="s">
        <v>10</v>
      </c>
      <c r="C6" s="3" t="s">
        <v>17</v>
      </c>
      <c r="F6"/>
    </row>
    <row r="7" spans="1:8" ht="58.5" customHeight="1" x14ac:dyDescent="0.25">
      <c r="A7" s="1" t="s">
        <v>18</v>
      </c>
      <c r="C7" s="3" t="s">
        <v>19</v>
      </c>
      <c r="F7"/>
    </row>
    <row r="8" spans="1:8" ht="58.5" customHeight="1" x14ac:dyDescent="0.25">
      <c r="A8" s="1" t="s">
        <v>20</v>
      </c>
      <c r="C8" s="3" t="s">
        <v>21</v>
      </c>
      <c r="E8"/>
    </row>
    <row r="9" spans="1:8" ht="58.5" customHeight="1" x14ac:dyDescent="0.25">
      <c r="A9" s="1" t="s">
        <v>22</v>
      </c>
      <c r="C9" s="3" t="s">
        <v>19</v>
      </c>
      <c r="E9"/>
      <c r="F9"/>
    </row>
    <row r="10" spans="1:8" ht="58.5" customHeight="1" x14ac:dyDescent="0.25">
      <c r="A10" s="1" t="s">
        <v>23</v>
      </c>
      <c r="C10" s="3" t="s">
        <v>24</v>
      </c>
      <c r="E10"/>
    </row>
    <row r="11" spans="1:8" ht="58.5" customHeight="1" x14ac:dyDescent="0.25">
      <c r="A11" s="1" t="s">
        <v>25</v>
      </c>
      <c r="C11" s="3" t="s">
        <v>26</v>
      </c>
    </row>
    <row r="12" spans="1:8" ht="58.5" customHeight="1" x14ac:dyDescent="0.25">
      <c r="A12" s="1" t="s">
        <v>27</v>
      </c>
      <c r="C12" s="3" t="s">
        <v>28</v>
      </c>
    </row>
    <row r="13" spans="1:8" ht="58.5" customHeight="1" x14ac:dyDescent="0.25">
      <c r="A13" s="1" t="s">
        <v>29</v>
      </c>
      <c r="C13" s="3" t="s">
        <v>30</v>
      </c>
    </row>
    <row r="14" spans="1:8" ht="58.5" customHeight="1" x14ac:dyDescent="0.25">
      <c r="A14" s="1" t="s">
        <v>31</v>
      </c>
      <c r="C14" s="3" t="s">
        <v>32</v>
      </c>
      <c r="F14"/>
    </row>
    <row r="15" spans="1:8" ht="58.5" customHeight="1" x14ac:dyDescent="0.25">
      <c r="A15" s="1" t="s">
        <v>33</v>
      </c>
      <c r="C15" s="3" t="s">
        <v>34</v>
      </c>
      <c r="F15"/>
    </row>
    <row r="16" spans="1:8" ht="58.5" customHeight="1" x14ac:dyDescent="0.25">
      <c r="A16" s="1" t="s">
        <v>35</v>
      </c>
      <c r="C16" s="3" t="s">
        <v>36</v>
      </c>
    </row>
    <row r="17" spans="1:8" ht="58.5" customHeight="1" x14ac:dyDescent="0.25">
      <c r="A17" s="1" t="s">
        <v>37</v>
      </c>
      <c r="C17" s="3" t="s">
        <v>38</v>
      </c>
    </row>
    <row r="18" spans="1:8" ht="58.5" customHeight="1" x14ac:dyDescent="0.25">
      <c r="A18" s="1" t="s">
        <v>429</v>
      </c>
      <c r="C18" s="922" t="s">
        <v>433</v>
      </c>
    </row>
    <row r="19" spans="1:8" ht="58.5" customHeight="1" x14ac:dyDescent="0.25">
      <c r="A19" s="1" t="s">
        <v>39</v>
      </c>
      <c r="C19" s="3" t="s">
        <v>40</v>
      </c>
      <c r="F19"/>
    </row>
    <row r="20" spans="1:8" ht="58.5" customHeight="1" x14ac:dyDescent="0.25">
      <c r="A20" s="1" t="s">
        <v>428</v>
      </c>
      <c r="B20"/>
      <c r="C20" s="3" t="s">
        <v>41</v>
      </c>
      <c r="F20"/>
    </row>
    <row r="21" spans="1:8" ht="58.5" customHeight="1" x14ac:dyDescent="0.25">
      <c r="A21" s="1" t="s">
        <v>42</v>
      </c>
      <c r="C21" s="3" t="s">
        <v>43</v>
      </c>
      <c r="E21"/>
      <c r="F21"/>
    </row>
    <row r="22" spans="1:8" ht="58.5" customHeight="1" x14ac:dyDescent="0.25">
      <c r="A22" s="1" t="s">
        <v>44</v>
      </c>
      <c r="C22" s="3" t="s">
        <v>45</v>
      </c>
      <c r="F22"/>
    </row>
    <row r="23" spans="1:8" ht="58.5" customHeight="1" x14ac:dyDescent="0.25">
      <c r="A23" s="1" t="s">
        <v>430</v>
      </c>
      <c r="C23" s="922" t="s">
        <v>434</v>
      </c>
    </row>
    <row r="24" spans="1:8" ht="58.5" customHeight="1" x14ac:dyDescent="0.25">
      <c r="A24" s="1" t="s">
        <v>46</v>
      </c>
      <c r="C24" s="3" t="s">
        <v>47</v>
      </c>
      <c r="G24"/>
    </row>
    <row r="25" spans="1:8" ht="58.5" customHeight="1" x14ac:dyDescent="0.25">
      <c r="A25" s="1" t="s">
        <v>48</v>
      </c>
      <c r="C25" s="3" t="s">
        <v>49</v>
      </c>
      <c r="F25"/>
      <c r="G25"/>
    </row>
    <row r="26" spans="1:8" ht="58.5" customHeight="1" x14ac:dyDescent="0.25">
      <c r="A26" s="1" t="s">
        <v>50</v>
      </c>
      <c r="C26" s="3" t="s">
        <v>51</v>
      </c>
      <c r="F26"/>
    </row>
    <row r="27" spans="1:8" ht="58.5" customHeight="1" x14ac:dyDescent="0.25">
      <c r="A27" s="1" t="s">
        <v>52</v>
      </c>
      <c r="C27" s="3" t="s">
        <v>53</v>
      </c>
    </row>
    <row r="28" spans="1:8" ht="58.5" customHeight="1" x14ac:dyDescent="0.25">
      <c r="A28" s="1" t="s">
        <v>54</v>
      </c>
      <c r="C28" s="3" t="s">
        <v>55</v>
      </c>
      <c r="E28"/>
      <c r="F28"/>
      <c r="H28"/>
    </row>
    <row r="29" spans="1:8" ht="58.5" customHeight="1" x14ac:dyDescent="0.25">
      <c r="A29" s="1" t="s">
        <v>56</v>
      </c>
      <c r="C29" s="3" t="s">
        <v>57</v>
      </c>
      <c r="E29"/>
    </row>
    <row r="30" spans="1:8" ht="58.5" customHeight="1" x14ac:dyDescent="0.25">
      <c r="A30" s="1" t="s">
        <v>58</v>
      </c>
      <c r="C30" s="3" t="s">
        <v>59</v>
      </c>
    </row>
    <row r="31" spans="1:8" ht="58.5" customHeight="1" x14ac:dyDescent="0.25">
      <c r="A31" s="1" t="s">
        <v>60</v>
      </c>
      <c r="C31" s="3" t="s">
        <v>61</v>
      </c>
      <c r="E31"/>
      <c r="F31"/>
    </row>
    <row r="32" spans="1:8" ht="58.5" customHeight="1" x14ac:dyDescent="0.25">
      <c r="A32" s="1" t="s">
        <v>62</v>
      </c>
      <c r="C32" s="3" t="s">
        <v>63</v>
      </c>
    </row>
    <row r="33" spans="1:8" ht="58.5" customHeight="1" x14ac:dyDescent="0.25">
      <c r="A33" s="1" t="s">
        <v>64</v>
      </c>
      <c r="C33" s="3" t="s">
        <v>65</v>
      </c>
    </row>
    <row r="34" spans="1:8" ht="58.5" customHeight="1" x14ac:dyDescent="0.25">
      <c r="A34" s="1" t="s">
        <v>67</v>
      </c>
      <c r="C34" s="3" t="s">
        <v>68</v>
      </c>
      <c r="F34"/>
    </row>
    <row r="35" spans="1:8" ht="58.5" customHeight="1" x14ac:dyDescent="0.25">
      <c r="A35" s="1" t="s">
        <v>69</v>
      </c>
      <c r="C35" s="3" t="s">
        <v>70</v>
      </c>
    </row>
    <row r="36" spans="1:8" ht="58.5" customHeight="1" x14ac:dyDescent="0.25">
      <c r="A36" s="1" t="s">
        <v>71</v>
      </c>
      <c r="C36" s="3" t="s">
        <v>72</v>
      </c>
    </row>
    <row r="37" spans="1:8" ht="58.5" customHeight="1" x14ac:dyDescent="0.25">
      <c r="A37" s="1" t="s">
        <v>73</v>
      </c>
      <c r="C37" s="3" t="s">
        <v>74</v>
      </c>
      <c r="E37"/>
      <c r="F37"/>
    </row>
    <row r="38" spans="1:8" ht="58.5" customHeight="1" x14ac:dyDescent="0.25">
      <c r="A38" s="1" t="s">
        <v>75</v>
      </c>
      <c r="C38" s="3" t="s">
        <v>76</v>
      </c>
      <c r="E38"/>
    </row>
    <row r="39" spans="1:8" ht="58.5" customHeight="1" x14ac:dyDescent="0.25">
      <c r="A39" s="1" t="s">
        <v>431</v>
      </c>
      <c r="B39"/>
      <c r="C39" s="922" t="s">
        <v>432</v>
      </c>
    </row>
    <row r="40" spans="1:8" ht="58.5" customHeight="1" x14ac:dyDescent="0.25">
      <c r="A40" s="1" t="s">
        <v>77</v>
      </c>
      <c r="C40" s="3" t="s">
        <v>78</v>
      </c>
    </row>
    <row r="41" spans="1:8" ht="58.5" customHeight="1" x14ac:dyDescent="0.25">
      <c r="A41" s="1" t="s">
        <v>79</v>
      </c>
      <c r="C41" s="3" t="s">
        <v>80</v>
      </c>
    </row>
    <row r="42" spans="1:8" ht="58.5" customHeight="1" x14ac:dyDescent="0.25">
      <c r="A42" s="1" t="s">
        <v>81</v>
      </c>
      <c r="C42" s="3" t="s">
        <v>82</v>
      </c>
    </row>
    <row r="43" spans="1:8" ht="58.5" customHeight="1" x14ac:dyDescent="0.25">
      <c r="A43" s="1" t="s">
        <v>83</v>
      </c>
      <c r="C43" s="3" t="s">
        <v>84</v>
      </c>
      <c r="F43"/>
    </row>
    <row r="44" spans="1:8" ht="58.5" customHeight="1" x14ac:dyDescent="0.25">
      <c r="A44" s="1" t="s">
        <v>85</v>
      </c>
      <c r="C44" s="3" t="s">
        <v>86</v>
      </c>
      <c r="E44"/>
      <c r="F44"/>
      <c r="G44"/>
      <c r="H44"/>
    </row>
    <row r="45" spans="1:8" ht="58.5" customHeight="1" x14ac:dyDescent="0.25">
      <c r="A45" s="1" t="s">
        <v>87</v>
      </c>
      <c r="C45" s="3" t="s">
        <v>88</v>
      </c>
      <c r="G45"/>
    </row>
    <row r="46" spans="1:8" ht="58.5" customHeight="1" x14ac:dyDescent="0.25">
      <c r="A46" s="1" t="s">
        <v>89</v>
      </c>
      <c r="C46" s="3" t="s">
        <v>90</v>
      </c>
      <c r="E46"/>
    </row>
    <row r="47" spans="1:8" ht="58.5" customHeight="1" x14ac:dyDescent="0.25">
      <c r="A47" s="1" t="s">
        <v>91</v>
      </c>
      <c r="C47" s="3" t="s">
        <v>92</v>
      </c>
    </row>
    <row r="48" spans="1:8" ht="58.5" customHeight="1" x14ac:dyDescent="0.25">
      <c r="A48" s="1" t="s">
        <v>93</v>
      </c>
      <c r="C48" s="3" t="s">
        <v>94</v>
      </c>
      <c r="F48"/>
    </row>
    <row r="49" spans="1:6" ht="58.5" customHeight="1" x14ac:dyDescent="0.25">
      <c r="A49" s="1" t="s">
        <v>165</v>
      </c>
      <c r="C49" s="3" t="s">
        <v>66</v>
      </c>
      <c r="F49"/>
    </row>
    <row r="50" spans="1:6" ht="58.5" customHeight="1" x14ac:dyDescent="0.25">
      <c r="A50" s="1" t="s">
        <v>164</v>
      </c>
    </row>
    <row r="51" spans="1:6" ht="58.5" customHeight="1" x14ac:dyDescent="0.25">
      <c r="A51" s="1" t="s">
        <v>13</v>
      </c>
      <c r="C51" s="3" t="s">
        <v>14</v>
      </c>
      <c r="E51"/>
      <c r="F51"/>
    </row>
    <row r="52" spans="1:6" ht="58.5" customHeight="1" x14ac:dyDescent="0.25">
      <c r="A52" s="1" t="s">
        <v>166</v>
      </c>
    </row>
    <row r="53" spans="1:6" ht="58.5" customHeight="1" x14ac:dyDescent="0.25">
      <c r="A53" s="1" t="s">
        <v>167</v>
      </c>
    </row>
    <row r="54" spans="1:6" ht="58.5" customHeight="1" x14ac:dyDescent="0.25">
      <c r="A54" s="1" t="s">
        <v>101</v>
      </c>
      <c r="F54"/>
    </row>
    <row r="55" spans="1:6" ht="58.5" customHeight="1" x14ac:dyDescent="0.25">
      <c r="A55" s="1" t="s">
        <v>394</v>
      </c>
      <c r="B55" s="422" t="s">
        <v>394</v>
      </c>
    </row>
    <row r="56" spans="1:6" ht="58.5" customHeight="1" x14ac:dyDescent="0.25">
      <c r="A56" s="1" t="s">
        <v>104</v>
      </c>
    </row>
    <row r="57" spans="1:6" ht="58.5" customHeight="1" x14ac:dyDescent="0.25">
      <c r="A57" s="1" t="s">
        <v>102</v>
      </c>
    </row>
    <row r="58" spans="1:6" ht="58.5" customHeight="1" x14ac:dyDescent="0.25">
      <c r="A58" s="1" t="s">
        <v>103</v>
      </c>
    </row>
    <row r="59" spans="1:6" ht="58.5" customHeight="1" x14ac:dyDescent="0.25">
      <c r="A59" s="1" t="s">
        <v>95</v>
      </c>
      <c r="C59" s="3" t="s">
        <v>95</v>
      </c>
    </row>
    <row r="60" spans="1:6" ht="58.5" customHeight="1" x14ac:dyDescent="0.25">
      <c r="B60"/>
      <c r="E60"/>
    </row>
  </sheetData>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sheetPr>
  <dimension ref="A1:M21"/>
  <sheetViews>
    <sheetView zoomScaleNormal="100" workbookViewId="0">
      <selection activeCell="D4" sqref="D4:J11"/>
    </sheetView>
  </sheetViews>
  <sheetFormatPr defaultColWidth="32.88671875" defaultRowHeight="12.75" x14ac:dyDescent="0.2"/>
  <cols>
    <col min="1" max="1" width="29.33203125" style="12" bestFit="1" customWidth="1"/>
    <col min="2" max="2" width="23.33203125" style="10" customWidth="1"/>
    <col min="3" max="3" width="32.77734375" style="5" customWidth="1"/>
    <col min="4" max="4" width="45.44140625" style="5" bestFit="1" customWidth="1"/>
    <col min="5" max="16384" width="32.88671875" style="5"/>
  </cols>
  <sheetData>
    <row r="1" spans="1:13" x14ac:dyDescent="0.2">
      <c r="A1" s="447" t="s">
        <v>130</v>
      </c>
      <c r="B1" s="448" t="s">
        <v>147</v>
      </c>
      <c r="C1" s="448" t="s">
        <v>151</v>
      </c>
      <c r="D1" s="448" t="s">
        <v>157</v>
      </c>
      <c r="E1" s="449" t="s">
        <v>131</v>
      </c>
      <c r="F1" s="9"/>
      <c r="G1" s="9"/>
      <c r="H1" s="9"/>
      <c r="I1" s="9"/>
      <c r="J1" s="9"/>
      <c r="K1" s="9"/>
      <c r="L1" s="9"/>
      <c r="M1" s="9"/>
    </row>
    <row r="2" spans="1:13" x14ac:dyDescent="0.2">
      <c r="A2" s="434" t="s">
        <v>132</v>
      </c>
      <c r="B2" s="435" t="s">
        <v>106</v>
      </c>
      <c r="C2" s="436" t="s">
        <v>106</v>
      </c>
      <c r="D2" s="437" t="s">
        <v>106</v>
      </c>
      <c r="E2" s="438" t="s">
        <v>106</v>
      </c>
      <c r="F2" s="9"/>
      <c r="G2" s="9"/>
      <c r="H2" s="9"/>
      <c r="I2" s="9"/>
      <c r="J2" s="9"/>
      <c r="K2" s="9"/>
      <c r="L2" s="9"/>
      <c r="M2" s="9"/>
    </row>
    <row r="3" spans="1:13" ht="38.25" x14ac:dyDescent="0.2">
      <c r="A3" s="439" t="s">
        <v>141</v>
      </c>
      <c r="B3" s="431" t="s">
        <v>140</v>
      </c>
      <c r="C3" s="431" t="s">
        <v>410</v>
      </c>
      <c r="D3" s="432" t="s">
        <v>174</v>
      </c>
      <c r="E3" s="440" t="s">
        <v>144</v>
      </c>
      <c r="F3" s="9"/>
      <c r="G3" s="9"/>
      <c r="H3" s="9"/>
      <c r="I3" s="9"/>
      <c r="J3" s="9"/>
      <c r="K3" s="9"/>
      <c r="L3" s="9"/>
      <c r="M3" s="9"/>
    </row>
    <row r="4" spans="1:13" ht="51" x14ac:dyDescent="0.2">
      <c r="A4" s="439" t="s">
        <v>142</v>
      </c>
      <c r="B4" s="431" t="s">
        <v>148</v>
      </c>
      <c r="C4" s="431" t="s">
        <v>152</v>
      </c>
      <c r="D4" s="431" t="s">
        <v>156</v>
      </c>
      <c r="E4" s="440" t="s">
        <v>145</v>
      </c>
      <c r="F4" s="8"/>
      <c r="G4" s="8"/>
      <c r="H4" s="8"/>
      <c r="I4" s="8"/>
      <c r="J4" s="8"/>
      <c r="K4" s="8"/>
      <c r="L4" s="8"/>
      <c r="M4" s="8"/>
    </row>
    <row r="5" spans="1:13" ht="51" x14ac:dyDescent="0.2">
      <c r="A5" s="439" t="s">
        <v>143</v>
      </c>
      <c r="B5" s="431" t="s">
        <v>149</v>
      </c>
      <c r="C5" s="431" t="s">
        <v>153</v>
      </c>
      <c r="D5" s="431" t="s">
        <v>406</v>
      </c>
      <c r="E5" s="440" t="s">
        <v>146</v>
      </c>
      <c r="F5" s="9"/>
      <c r="G5" s="9"/>
      <c r="H5" s="9"/>
      <c r="I5" s="9"/>
      <c r="J5" s="9"/>
      <c r="K5" s="9"/>
      <c r="L5" s="9"/>
      <c r="M5" s="9"/>
    </row>
    <row r="6" spans="1:13" ht="63.75" x14ac:dyDescent="0.2">
      <c r="A6" s="439" t="s">
        <v>407</v>
      </c>
      <c r="B6" s="431" t="s">
        <v>408</v>
      </c>
      <c r="C6" s="431" t="s">
        <v>412</v>
      </c>
      <c r="D6" s="431" t="s">
        <v>411</v>
      </c>
      <c r="E6" s="440" t="s">
        <v>409</v>
      </c>
      <c r="F6" s="9"/>
      <c r="G6" s="9"/>
      <c r="H6" s="9"/>
      <c r="I6" s="9"/>
      <c r="J6" s="9"/>
      <c r="K6" s="9"/>
      <c r="L6" s="9"/>
      <c r="M6" s="9"/>
    </row>
    <row r="7" spans="1:13" ht="51" x14ac:dyDescent="0.2">
      <c r="A7" s="439"/>
      <c r="B7" s="431" t="s">
        <v>150</v>
      </c>
      <c r="C7" s="431" t="s">
        <v>158</v>
      </c>
      <c r="D7" s="431" t="s">
        <v>163</v>
      </c>
      <c r="E7" s="440" t="s">
        <v>175</v>
      </c>
      <c r="F7" s="9"/>
      <c r="G7" s="9"/>
      <c r="H7" s="9"/>
      <c r="I7" s="9"/>
      <c r="J7" s="9"/>
      <c r="K7" s="9"/>
      <c r="L7" s="9"/>
      <c r="M7" s="9"/>
    </row>
    <row r="8" spans="1:13" ht="57.75" x14ac:dyDescent="0.2">
      <c r="A8" s="441" t="s">
        <v>159</v>
      </c>
      <c r="B8" s="431" t="s">
        <v>173</v>
      </c>
      <c r="C8" s="431" t="s">
        <v>158</v>
      </c>
      <c r="D8" s="431" t="s">
        <v>169</v>
      </c>
      <c r="E8" s="440" t="s">
        <v>256</v>
      </c>
      <c r="F8" s="9"/>
      <c r="G8" s="9"/>
      <c r="H8" s="9"/>
      <c r="I8" s="9"/>
      <c r="J8" s="9"/>
      <c r="K8" s="9"/>
      <c r="L8" s="9"/>
      <c r="M8" s="9"/>
    </row>
    <row r="9" spans="1:13" ht="51" x14ac:dyDescent="0.2">
      <c r="A9" s="441" t="s">
        <v>162</v>
      </c>
      <c r="B9" s="433" t="s">
        <v>194</v>
      </c>
      <c r="C9" s="431" t="s">
        <v>158</v>
      </c>
      <c r="D9" s="431" t="s">
        <v>133</v>
      </c>
      <c r="E9" s="442" t="s">
        <v>257</v>
      </c>
      <c r="F9" s="9"/>
      <c r="G9" s="9"/>
      <c r="H9" s="9"/>
      <c r="I9" s="9"/>
      <c r="J9" s="9"/>
      <c r="K9" s="9"/>
      <c r="L9" s="9"/>
      <c r="M9" s="9"/>
    </row>
    <row r="10" spans="1:13" ht="26.25" thickBot="1" x14ac:dyDescent="0.25">
      <c r="A10" s="443" t="s">
        <v>160</v>
      </c>
      <c r="B10" s="444" t="s">
        <v>195</v>
      </c>
      <c r="C10" s="445" t="s">
        <v>158</v>
      </c>
      <c r="D10" s="445" t="s">
        <v>172</v>
      </c>
      <c r="E10" s="446" t="s">
        <v>161</v>
      </c>
      <c r="F10" s="9"/>
      <c r="G10" s="9"/>
      <c r="H10" s="9"/>
      <c r="I10" s="9"/>
      <c r="J10" s="9"/>
      <c r="K10" s="9"/>
      <c r="L10" s="9"/>
      <c r="M10" s="9"/>
    </row>
    <row r="11" spans="1:13" x14ac:dyDescent="0.2">
      <c r="B11" s="5"/>
      <c r="C11" s="10"/>
    </row>
    <row r="12" spans="1:13" x14ac:dyDescent="0.2">
      <c r="D12" s="5" t="s">
        <v>169</v>
      </c>
    </row>
    <row r="15" spans="1:13" x14ac:dyDescent="0.2">
      <c r="A15" s="8" t="s">
        <v>181</v>
      </c>
      <c r="B15" s="10" t="s">
        <v>106</v>
      </c>
    </row>
    <row r="16" spans="1:13" ht="25.5" x14ac:dyDescent="0.2">
      <c r="A16" s="8" t="s">
        <v>311</v>
      </c>
      <c r="B16" s="10" t="s">
        <v>183</v>
      </c>
    </row>
    <row r="17" spans="1:3" ht="25.5" x14ac:dyDescent="0.2">
      <c r="A17" s="8" t="s">
        <v>312</v>
      </c>
      <c r="B17" s="10" t="s">
        <v>134</v>
      </c>
    </row>
    <row r="19" spans="1:3" x14ac:dyDescent="0.2">
      <c r="A19" s="8" t="s">
        <v>135</v>
      </c>
      <c r="B19" s="10" t="s">
        <v>106</v>
      </c>
      <c r="C19" s="5" t="s">
        <v>106</v>
      </c>
    </row>
    <row r="20" spans="1:3" ht="25.5" x14ac:dyDescent="0.2">
      <c r="A20" s="11" t="s">
        <v>321</v>
      </c>
      <c r="B20" s="10" t="s">
        <v>182</v>
      </c>
      <c r="C20" s="5" t="s">
        <v>106</v>
      </c>
    </row>
    <row r="21" spans="1:3" ht="25.5" x14ac:dyDescent="0.2">
      <c r="A21" s="11" t="s">
        <v>322</v>
      </c>
      <c r="B21" s="10" t="s">
        <v>186</v>
      </c>
      <c r="C21" s="5" t="s">
        <v>187</v>
      </c>
    </row>
  </sheetData>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MA CLAIM FORM</vt:lpstr>
      <vt:lpstr>IDR ADDL FORM</vt:lpstr>
      <vt:lpstr>TDR RESOURCES</vt:lpstr>
      <vt:lpstr>Rates</vt:lpstr>
      <vt:lpstr>SCP Rates</vt:lpstr>
      <vt:lpstr>Ranks</vt:lpstr>
      <vt:lpstr>Equipment</vt:lpstr>
      <vt:lpstr>Crests</vt:lpstr>
      <vt:lpstr>Mutual aid grades definitions</vt:lpstr>
      <vt:lpstr>Allow</vt:lpstr>
      <vt:lpstr>Consumables</vt:lpstr>
      <vt:lpstr>Consume</vt:lpstr>
      <vt:lpstr>deploy</vt:lpstr>
      <vt:lpstr>Dive</vt:lpstr>
      <vt:lpstr>Equip</vt:lpstr>
      <vt:lpstr>Equipment_2</vt:lpstr>
      <vt:lpstr>Force</vt:lpstr>
      <vt:lpstr>MAG</vt:lpstr>
      <vt:lpstr>'IDR ADDL FORM'!Print_Area</vt:lpstr>
      <vt:lpstr>'MA CLAIM FORM'!Print_Area</vt:lpstr>
      <vt:lpstr>'TDR RESOURCES'!Print_Area</vt:lpstr>
      <vt:lpstr>Rank</vt:lpstr>
      <vt:lpstr>TDR</vt:lpstr>
      <vt:lpstr>Vehicle</vt:lpstr>
      <vt:lpstr>YesNo</vt:lpstr>
    </vt:vector>
  </TitlesOfParts>
  <Company>Hampshire Constabulary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NPCC FCC MA Claim Form</dc:title>
  <dc:creator>Goddard Shaun B;Bob Meadows 3700</dc:creator>
  <cp:lastModifiedBy>Brookes, Hollie (C2942)</cp:lastModifiedBy>
  <cp:lastPrinted>2018-06-29T10:23:21Z</cp:lastPrinted>
  <dcterms:created xsi:type="dcterms:W3CDTF">2018-02-20T14:59:09Z</dcterms:created>
  <dcterms:modified xsi:type="dcterms:W3CDTF">2024-03-28T12:21:07Z</dcterms:modified>
</cp:coreProperties>
</file>