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focapp002\finadata\EXCEL\ACCOUNTS\Monitoring\MONI 25-26\JOU &amp; OPS\1. MUTUAL AID\2026 new rates &amp; Guidance\Final\"/>
    </mc:Choice>
  </mc:AlternateContent>
  <workbookProtection workbookAlgorithmName="SHA-512" workbookHashValue="QgQ296UcqOUVCezLl/fkw0+9d3a5gtKak5pJdfGRdUjzTb70nKJ0jQpP30co4Xwylwaz+Gr4WbEz1ZDFjMkOxw==" workbookSaltValue="/gVel2Lsrh4F8nG2bMAwvA==" workbookSpinCount="100000" lockStructure="1"/>
  <bookViews>
    <workbookView xWindow="57480" yWindow="-120" windowWidth="29040" windowHeight="15840" tabRatio="835"/>
  </bookViews>
  <sheets>
    <sheet name="MA CLAIM FORM" sheetId="1" r:id="rId1"/>
    <sheet name="IDR ADDL FORM" sheetId="13" r:id="rId2"/>
    <sheet name="TDR RESOURCES" sheetId="11" r:id="rId3"/>
    <sheet name="Rates" sheetId="8" state="hidden" r:id="rId4"/>
    <sheet name="Equipment" sheetId="4" state="hidden" r:id="rId5"/>
    <sheet name="Crests" sheetId="12" state="hidden" r:id="rId6"/>
    <sheet name="Ranks" sheetId="3" state="hidden" r:id="rId7"/>
    <sheet name="Mutual aid grades definitions" sheetId="5" state="hidden" r:id="rId8"/>
    <sheet name="Mutual Aid" sheetId="14" state="hidden" r:id="rId9"/>
    <sheet name="Police Pay rates" sheetId="15" state="hidden" r:id="rId10"/>
    <sheet name="Staff Rates" sheetId="9" state="hidden" r:id="rId11"/>
  </sheets>
  <definedNames>
    <definedName name="Allow">Equipment!$B$42:$B$49</definedName>
    <definedName name="Consumables">Equipment!$B$11:$B$15</definedName>
    <definedName name="Consume">Equipment!$B$62:$B$69</definedName>
    <definedName name="CrestPic" localSheetId="1">INDEX(Crests!$B$2:$B$59,MATCH('IDR ADDL FORM'!$B$21,Crests!$A$2:$A$59,0))</definedName>
    <definedName name="CrestPic">INDEX(Crests!$B$2:$B$59,MATCH('MA CLAIM FORM'!$B$21,Crests!$A$2:$A$59,0))</definedName>
    <definedName name="Crestpic2" localSheetId="1">INDEX(Crests!$B$2:$B$59,MATCH('IDR ADDL FORM'!$I$21,Crests!$A$2:$A$59,0))</definedName>
    <definedName name="Crestpic2">INDEX(Crests!$B$2:$B$59,MATCH('MA CLAIM FORM'!$I$21,Crests!$A$2:$A$59,0))</definedName>
    <definedName name="deploy">'Mutual aid grades definitions'!$A$19:$A$21</definedName>
    <definedName name="Dive">Equipment!$B$78:$B$82</definedName>
    <definedName name="Equip">Equipment!$B$55:$B$56</definedName>
    <definedName name="Equipment_2">Equipment!$B$3:$B$7</definedName>
    <definedName name="Force">Crests!$A$2:$A$59</definedName>
    <definedName name="MAG">'Mutual aid grades definitions'!$A$2:$A$6</definedName>
    <definedName name="_xlnm.Print_Area" localSheetId="1">'IDR ADDL FORM'!$B$2:$N$171</definedName>
    <definedName name="_xlnm.Print_Area" localSheetId="0">'MA CLAIM FORM'!$B$1:$N$171</definedName>
    <definedName name="_xlnm.Print_Area" localSheetId="2">'TDR RESOURCES'!$B$2:$N$155</definedName>
    <definedName name="Rank">Ranks!$A$3:$A$18</definedName>
    <definedName name="TDR">Equipment!$B$72:$B$74</definedName>
    <definedName name="Vehicle">Equipment!$B$21:$B$31</definedName>
    <definedName name="YesNo">'Mutual aid grades definitions'!$A$15:$A$17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6" i="11" l="1"/>
  <c r="L75" i="11"/>
  <c r="L74" i="11"/>
  <c r="L73" i="11"/>
  <c r="L72" i="11"/>
  <c r="L70" i="11"/>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K74" i="1" l="1"/>
  <c r="L23" i="13"/>
  <c r="O102" i="1"/>
  <c r="O101" i="1"/>
  <c r="O100" i="1"/>
  <c r="O99" i="1"/>
  <c r="O98" i="1"/>
  <c r="O97" i="1"/>
  <c r="O96" i="1"/>
  <c r="O95" i="1"/>
  <c r="O94" i="1"/>
  <c r="H94" i="1"/>
  <c r="E23" i="13"/>
  <c r="C31" i="4"/>
  <c r="C23" i="4"/>
  <c r="C26" i="4"/>
  <c r="C28" i="4"/>
  <c r="C29" i="4"/>
  <c r="C22" i="4"/>
  <c r="E12" i="3" l="1"/>
  <c r="E13" i="3"/>
  <c r="E14" i="3"/>
  <c r="E15" i="3"/>
  <c r="E16" i="3"/>
  <c r="E17" i="3"/>
  <c r="E18" i="3"/>
  <c r="E11" i="3"/>
  <c r="D12" i="3"/>
  <c r="D13" i="3"/>
  <c r="D14" i="3"/>
  <c r="D15" i="3"/>
  <c r="D16" i="3"/>
  <c r="D17" i="3"/>
  <c r="D18" i="3"/>
  <c r="D11" i="3"/>
  <c r="C12" i="3"/>
  <c r="C13" i="3"/>
  <c r="C14" i="3"/>
  <c r="C15" i="3"/>
  <c r="C16" i="3"/>
  <c r="C17" i="3"/>
  <c r="C18" i="3"/>
  <c r="C11" i="3"/>
  <c r="B12" i="3"/>
  <c r="B13" i="3"/>
  <c r="B14" i="3"/>
  <c r="B15" i="3"/>
  <c r="B16" i="3"/>
  <c r="B17" i="3"/>
  <c r="B18" i="3"/>
  <c r="B11" i="3"/>
  <c r="E9" i="3"/>
  <c r="E8" i="3"/>
  <c r="E7" i="3"/>
  <c r="E6" i="3"/>
  <c r="E5" i="3"/>
  <c r="D9" i="3"/>
  <c r="D8" i="3"/>
  <c r="D7" i="3"/>
  <c r="D6" i="3"/>
  <c r="D5" i="3"/>
  <c r="C9" i="3"/>
  <c r="C8" i="3"/>
  <c r="C7" i="3"/>
  <c r="C6" i="3"/>
  <c r="C5" i="3"/>
  <c r="B9" i="3"/>
  <c r="B8" i="3"/>
  <c r="B7" i="3"/>
  <c r="B6" i="3"/>
  <c r="B5" i="3"/>
  <c r="E4" i="3"/>
  <c r="D4" i="3"/>
  <c r="C4" i="3"/>
  <c r="B4" i="3"/>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I17" i="9"/>
  <c r="H17" i="9"/>
  <c r="G17" i="9"/>
  <c r="F17" i="9"/>
  <c r="E17" i="9"/>
  <c r="D17" i="9"/>
  <c r="C17" i="9"/>
  <c r="B17" i="9"/>
  <c r="I8" i="9"/>
  <c r="H8" i="9"/>
  <c r="G8" i="9"/>
  <c r="F8" i="9"/>
  <c r="E8" i="9"/>
  <c r="D8" i="9"/>
  <c r="C8" i="9"/>
  <c r="B8" i="9"/>
  <c r="D7" i="9"/>
  <c r="D9" i="9" s="1"/>
  <c r="B7" i="9"/>
  <c r="B9" i="9" s="1"/>
  <c r="I6" i="9"/>
  <c r="H6" i="9"/>
  <c r="G6" i="9"/>
  <c r="F6" i="9"/>
  <c r="E6" i="9"/>
  <c r="D6" i="9"/>
  <c r="C6" i="9"/>
  <c r="B6" i="9"/>
  <c r="I5" i="9"/>
  <c r="I7" i="9" s="1"/>
  <c r="I9" i="9" s="1"/>
  <c r="H5" i="9"/>
  <c r="H7" i="9" s="1"/>
  <c r="H9" i="9" s="1"/>
  <c r="G5" i="9"/>
  <c r="G7" i="9" s="1"/>
  <c r="G9" i="9" s="1"/>
  <c r="F5" i="9"/>
  <c r="F7" i="9" s="1"/>
  <c r="F9" i="9" s="1"/>
  <c r="E5" i="9"/>
  <c r="E7" i="9" s="1"/>
  <c r="E9" i="9" s="1"/>
  <c r="D5" i="9"/>
  <c r="C5" i="9"/>
  <c r="C7" i="9" s="1"/>
  <c r="C9" i="9" s="1"/>
  <c r="B5" i="9"/>
  <c r="E20" i="9" l="1"/>
  <c r="E19" i="9"/>
  <c r="I20" i="9"/>
  <c r="I19" i="9"/>
  <c r="B20" i="9"/>
  <c r="B19" i="9"/>
  <c r="F20" i="9"/>
  <c r="F19" i="9"/>
  <c r="G20" i="9"/>
  <c r="G19" i="9"/>
  <c r="H20" i="9"/>
  <c r="H19" i="9"/>
  <c r="C19" i="9"/>
  <c r="C20" i="9"/>
  <c r="D20" i="9"/>
  <c r="D19" i="9"/>
  <c r="C23" i="9" l="1"/>
  <c r="C22" i="9"/>
  <c r="C24" i="9"/>
  <c r="C25" i="9"/>
  <c r="B22" i="9"/>
  <c r="B24" i="9"/>
  <c r="B23" i="9"/>
  <c r="B25" i="9"/>
  <c r="F25" i="9"/>
  <c r="F24" i="9"/>
  <c r="F23" i="9"/>
  <c r="F22" i="9"/>
  <c r="D24" i="9"/>
  <c r="D23" i="9"/>
  <c r="D22" i="9"/>
  <c r="D25" i="9"/>
  <c r="H25" i="9"/>
  <c r="H24" i="9"/>
  <c r="H23" i="9"/>
  <c r="H22" i="9"/>
  <c r="I25" i="9"/>
  <c r="I24" i="9"/>
  <c r="I23" i="9"/>
  <c r="I22" i="9"/>
  <c r="G25" i="9"/>
  <c r="G24" i="9"/>
  <c r="G23" i="9"/>
  <c r="G22" i="9"/>
  <c r="E22" i="9"/>
  <c r="E23" i="9"/>
  <c r="E24" i="9"/>
  <c r="E25" i="9"/>
  <c r="E30" i="4" l="1"/>
  <c r="D45" i="4"/>
  <c r="D44" i="4"/>
  <c r="D43" i="4"/>
  <c r="L90" i="11" l="1"/>
  <c r="L89" i="11"/>
  <c r="L88" i="11"/>
  <c r="L87" i="11"/>
  <c r="L86" i="11"/>
  <c r="L85" i="11"/>
  <c r="L84" i="11"/>
  <c r="L83" i="11"/>
  <c r="L82" i="11"/>
  <c r="L102" i="13"/>
  <c r="L101" i="13"/>
  <c r="L100" i="13"/>
  <c r="L99" i="13"/>
  <c r="L98" i="13"/>
  <c r="L97" i="13"/>
  <c r="L96" i="13"/>
  <c r="L95" i="13"/>
  <c r="L94" i="13"/>
  <c r="L102" i="1"/>
  <c r="L101" i="1"/>
  <c r="L100" i="1"/>
  <c r="L99" i="1"/>
  <c r="L98" i="1"/>
  <c r="L97" i="1"/>
  <c r="L96" i="1"/>
  <c r="L95" i="1"/>
  <c r="L94" i="1"/>
  <c r="G34" i="15" l="1"/>
  <c r="G46" i="15" s="1"/>
  <c r="G49" i="15" s="1"/>
  <c r="F34" i="15"/>
  <c r="F46" i="15" s="1"/>
  <c r="F49" i="15" s="1"/>
  <c r="E34" i="15"/>
  <c r="E46" i="15" s="1"/>
  <c r="E49" i="15" s="1"/>
  <c r="D34" i="15"/>
  <c r="D46" i="15" s="1"/>
  <c r="D49" i="15" s="1"/>
  <c r="C34" i="15"/>
  <c r="C42" i="15" s="1"/>
  <c r="C44" i="15" s="1"/>
  <c r="B34" i="15"/>
  <c r="B46" i="15" s="1"/>
  <c r="B49" i="15" s="1"/>
  <c r="M3" i="8"/>
  <c r="C10" i="3" s="1"/>
  <c r="M4" i="8"/>
  <c r="D10" i="3" s="1"/>
  <c r="M5" i="8"/>
  <c r="E10" i="3" s="1"/>
  <c r="M2" i="8"/>
  <c r="B10" i="3" s="1"/>
  <c r="B42" i="15" l="1"/>
  <c r="B44" i="15" s="1"/>
  <c r="B52" i="15" s="1"/>
  <c r="D42" i="15"/>
  <c r="D44" i="15" s="1"/>
  <c r="D52" i="15" s="1"/>
  <c r="C46" i="15"/>
  <c r="C49" i="15" s="1"/>
  <c r="C52" i="15" s="1"/>
  <c r="E42" i="15"/>
  <c r="E44" i="15" s="1"/>
  <c r="E52" i="15" s="1"/>
  <c r="F42" i="15"/>
  <c r="F44" i="15" s="1"/>
  <c r="F52" i="15" s="1"/>
  <c r="G42" i="15"/>
  <c r="G44" i="15" s="1"/>
  <c r="G52" i="15" s="1"/>
  <c r="G2" i="15"/>
  <c r="F2" i="15"/>
  <c r="C3" i="15"/>
  <c r="D3" i="15"/>
  <c r="E3" i="15"/>
  <c r="F3" i="15"/>
  <c r="G3" i="15"/>
  <c r="B3" i="15"/>
  <c r="N16" i="3" l="1"/>
  <c r="N14" i="3"/>
  <c r="D12" i="8" s="1"/>
  <c r="N13" i="3"/>
  <c r="D5" i="8" s="1"/>
  <c r="N15" i="3"/>
  <c r="D19" i="8" s="1"/>
  <c r="O16" i="3"/>
  <c r="O15" i="3"/>
  <c r="D20" i="8" s="1"/>
  <c r="O14" i="3"/>
  <c r="D13" i="8" s="1"/>
  <c r="O13" i="3"/>
  <c r="D6" i="8" s="1"/>
  <c r="L16" i="3"/>
  <c r="L14" i="3"/>
  <c r="D10" i="8" s="1"/>
  <c r="L15" i="3"/>
  <c r="D17" i="8" s="1"/>
  <c r="L13" i="3"/>
  <c r="D3" i="8" s="1"/>
  <c r="J15" i="3"/>
  <c r="D15" i="8" s="1"/>
  <c r="J13" i="3"/>
  <c r="D1" i="8" s="1"/>
  <c r="J16" i="3" l="1"/>
  <c r="J14" i="3"/>
  <c r="D8" i="8" s="1"/>
  <c r="M16" i="3"/>
  <c r="M14" i="3"/>
  <c r="D11" i="8" s="1"/>
  <c r="M15" i="3"/>
  <c r="D18" i="8" s="1"/>
  <c r="M13" i="3"/>
  <c r="D4" i="8" s="1"/>
  <c r="K13" i="3"/>
  <c r="D2" i="8" s="1"/>
  <c r="K15" i="3"/>
  <c r="D16" i="8" s="1"/>
  <c r="K16" i="3" l="1"/>
  <c r="K14" i="3"/>
  <c r="D9" i="8" s="1"/>
  <c r="B78" i="8"/>
  <c r="B77" i="8"/>
  <c r="B76" i="8"/>
  <c r="B75" i="8"/>
  <c r="B74" i="8"/>
  <c r="B73" i="8"/>
  <c r="B72" i="8"/>
  <c r="B71" i="8"/>
  <c r="B70" i="8"/>
  <c r="B69" i="8"/>
  <c r="B68" i="8"/>
  <c r="B67" i="8"/>
  <c r="B66" i="8"/>
  <c r="B65" i="8"/>
  <c r="B64" i="8"/>
  <c r="B62" i="8"/>
  <c r="B61" i="8"/>
  <c r="B60" i="8"/>
  <c r="B59" i="8"/>
  <c r="B58" i="8"/>
  <c r="B57" i="8"/>
  <c r="B56" i="8"/>
  <c r="B54" i="8"/>
  <c r="B53" i="8"/>
  <c r="B52" i="8"/>
  <c r="B51" i="8"/>
  <c r="B50" i="8"/>
  <c r="B49" i="8"/>
  <c r="B48" i="8"/>
  <c r="B102" i="8" l="1"/>
  <c r="B101" i="8"/>
  <c r="B100" i="8"/>
  <c r="B99" i="8"/>
  <c r="B98" i="8"/>
  <c r="B97" i="8"/>
  <c r="B96" i="8"/>
  <c r="B95" i="8"/>
  <c r="B94" i="8"/>
  <c r="B93" i="8"/>
  <c r="B92" i="8"/>
  <c r="B91" i="8"/>
  <c r="B90" i="8"/>
  <c r="B89" i="8"/>
  <c r="B88" i="8"/>
  <c r="B87" i="8"/>
  <c r="B80" i="8"/>
  <c r="B81" i="8"/>
  <c r="B82" i="8"/>
  <c r="B83" i="8"/>
  <c r="B84" i="8"/>
  <c r="B85" i="8"/>
  <c r="B86" i="8"/>
  <c r="B79" i="8"/>
  <c r="I16" i="14"/>
  <c r="H16" i="14"/>
  <c r="G16" i="14"/>
  <c r="F16" i="14"/>
  <c r="E16" i="14"/>
  <c r="D16" i="14"/>
  <c r="C16" i="14"/>
  <c r="B16" i="14"/>
  <c r="I7" i="14"/>
  <c r="H7" i="14"/>
  <c r="G7" i="14"/>
  <c r="F7" i="14"/>
  <c r="E7" i="14"/>
  <c r="D7" i="14"/>
  <c r="C7" i="14"/>
  <c r="B7" i="14"/>
  <c r="I6" i="14"/>
  <c r="I8" i="14" s="1"/>
  <c r="I5" i="14"/>
  <c r="H5" i="14"/>
  <c r="G5" i="14"/>
  <c r="F5" i="14"/>
  <c r="E5" i="14"/>
  <c r="D5" i="14"/>
  <c r="C5" i="14"/>
  <c r="B5" i="14"/>
  <c r="I4" i="14"/>
  <c r="H4" i="14"/>
  <c r="H6" i="14" s="1"/>
  <c r="H8" i="14" s="1"/>
  <c r="G4" i="14"/>
  <c r="G6" i="14" s="1"/>
  <c r="G8" i="14" s="1"/>
  <c r="F4" i="14"/>
  <c r="F6" i="14" s="1"/>
  <c r="F8" i="14" s="1"/>
  <c r="E4" i="14"/>
  <c r="E6" i="14" s="1"/>
  <c r="E8" i="14" s="1"/>
  <c r="D4" i="14"/>
  <c r="D6" i="14" s="1"/>
  <c r="D8" i="14" s="1"/>
  <c r="C4" i="14"/>
  <c r="C6" i="14" s="1"/>
  <c r="C8" i="14" s="1"/>
  <c r="B4" i="14"/>
  <c r="B6" i="14" s="1"/>
  <c r="B8" i="14" s="1"/>
  <c r="H18" i="14" l="1"/>
  <c r="H19" i="14"/>
  <c r="B19" i="14"/>
  <c r="B18" i="14"/>
  <c r="C19" i="14"/>
  <c r="C18" i="14"/>
  <c r="D19" i="14"/>
  <c r="D18" i="14"/>
  <c r="E18" i="14"/>
  <c r="E19" i="14"/>
  <c r="F18" i="14"/>
  <c r="F19" i="14"/>
  <c r="I18" i="14"/>
  <c r="I19" i="14"/>
  <c r="G18" i="14"/>
  <c r="G19" i="14"/>
  <c r="F24" i="14" l="1"/>
  <c r="F21" i="14"/>
  <c r="F22" i="14"/>
  <c r="F23" i="14"/>
  <c r="E24" i="14"/>
  <c r="E21" i="14"/>
  <c r="E22" i="14"/>
  <c r="E23" i="14"/>
  <c r="D23" i="14"/>
  <c r="D24" i="14"/>
  <c r="D21" i="14"/>
  <c r="D22" i="14"/>
  <c r="C23" i="14"/>
  <c r="C21" i="14"/>
  <c r="C24" i="14"/>
  <c r="C22" i="14"/>
  <c r="G24" i="14"/>
  <c r="G21" i="14"/>
  <c r="G22" i="14"/>
  <c r="G23" i="14"/>
  <c r="B23" i="14"/>
  <c r="B24" i="14"/>
  <c r="B21" i="14"/>
  <c r="B22" i="14"/>
  <c r="I22" i="14"/>
  <c r="I23" i="14"/>
  <c r="I24" i="14"/>
  <c r="I21" i="14"/>
  <c r="H24" i="14"/>
  <c r="H21" i="14"/>
  <c r="H22" i="14"/>
  <c r="H23" i="14"/>
  <c r="M94" i="1" l="1"/>
  <c r="N94" i="1"/>
  <c r="M95" i="1"/>
  <c r="N95" i="1"/>
  <c r="D21" i="8"/>
  <c r="D14" i="8"/>
  <c r="D7" i="8"/>
  <c r="M5" i="4"/>
  <c r="M6" i="4"/>
  <c r="M7" i="4"/>
  <c r="M8" i="4"/>
  <c r="M9" i="4"/>
  <c r="M10" i="4"/>
  <c r="M11" i="4"/>
  <c r="M12" i="4"/>
  <c r="M4" i="4"/>
  <c r="N102" i="1" l="1"/>
  <c r="N101" i="1"/>
  <c r="N100" i="1"/>
  <c r="N99" i="1"/>
  <c r="N98" i="1"/>
  <c r="N97" i="1"/>
  <c r="N96" i="1"/>
  <c r="D27" i="8" l="1"/>
  <c r="D26" i="8"/>
  <c r="D25" i="8"/>
  <c r="D24" i="8"/>
  <c r="D23" i="8"/>
  <c r="D22" i="8"/>
  <c r="B28" i="8"/>
  <c r="B27" i="8"/>
  <c r="B26" i="8"/>
  <c r="B25" i="8"/>
  <c r="B24" i="8"/>
  <c r="B23" i="8"/>
  <c r="B22" i="8"/>
  <c r="N141" i="1" l="1"/>
  <c r="J156" i="1" l="1"/>
  <c r="V8" i="3" l="1"/>
  <c r="U8" i="3"/>
  <c r="V7" i="3"/>
  <c r="U7" i="3"/>
  <c r="V6" i="3"/>
  <c r="U6" i="3"/>
  <c r="V5" i="3"/>
  <c r="U5" i="3"/>
  <c r="D28" i="8" l="1"/>
  <c r="D33" i="8"/>
  <c r="D45" i="8" s="1"/>
  <c r="D32" i="8"/>
  <c r="D44" i="8" s="1"/>
  <c r="D31" i="8"/>
  <c r="D43" i="8" s="1"/>
  <c r="D30" i="8"/>
  <c r="D42" i="8" s="1"/>
  <c r="D29" i="8"/>
  <c r="D41" i="8" s="1"/>
  <c r="E58" i="13" l="1"/>
  <c r="N87" i="1" l="1"/>
  <c r="B21" i="8" l="1"/>
  <c r="B14" i="8"/>
  <c r="B7" i="8"/>
  <c r="P87" i="1" l="1"/>
  <c r="P86" i="1"/>
  <c r="P85" i="1"/>
  <c r="P84" i="1"/>
  <c r="P83" i="1"/>
  <c r="P82" i="1"/>
  <c r="P81" i="1"/>
  <c r="P80" i="1"/>
  <c r="P79" i="1"/>
  <c r="P78" i="1"/>
  <c r="P77" i="1"/>
  <c r="P76" i="1"/>
  <c r="P74" i="1"/>
  <c r="P73" i="1"/>
  <c r="P72" i="1"/>
  <c r="P71" i="1"/>
  <c r="P70" i="1"/>
  <c r="P69" i="1"/>
  <c r="P68" i="1"/>
  <c r="P67" i="1"/>
  <c r="P66" i="1"/>
  <c r="P65" i="1"/>
  <c r="P64" i="1"/>
  <c r="P62" i="1"/>
  <c r="P88"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87" i="13"/>
  <c r="P61" i="13"/>
  <c r="P61" i="1"/>
  <c r="K61" i="1" s="1"/>
  <c r="P88" i="1"/>
  <c r="K88" i="1" s="1"/>
  <c r="L88" i="1" s="1"/>
  <c r="N88" i="1" s="1"/>
  <c r="P75" i="1"/>
  <c r="P63" i="1"/>
  <c r="K70" i="11" l="1"/>
  <c r="C170" i="13" l="1"/>
  <c r="C169" i="13"/>
  <c r="C168" i="13"/>
  <c r="C167" i="13"/>
  <c r="C166" i="13"/>
  <c r="C155" i="11"/>
  <c r="C154" i="11"/>
  <c r="C153" i="11"/>
  <c r="C152" i="11"/>
  <c r="C151" i="11"/>
  <c r="F137" i="11"/>
  <c r="E137" i="11"/>
  <c r="D137" i="11"/>
  <c r="F135" i="11"/>
  <c r="E135" i="11"/>
  <c r="D135" i="11"/>
  <c r="D133" i="11"/>
  <c r="E26" i="11" l="1"/>
  <c r="M76" i="11"/>
  <c r="M75" i="11"/>
  <c r="M74" i="11"/>
  <c r="M73" i="11"/>
  <c r="M72" i="11"/>
  <c r="M71" i="11"/>
  <c r="M70" i="11"/>
  <c r="N70" i="11" s="1"/>
  <c r="M69" i="11"/>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I26" i="11" l="1"/>
  <c r="F74" i="11"/>
  <c r="P74" i="11" s="1"/>
  <c r="F70" i="11"/>
  <c r="P70" i="11" s="1"/>
  <c r="F73" i="11"/>
  <c r="P73" i="11" s="1"/>
  <c r="P69" i="11"/>
  <c r="K69" i="11" s="1"/>
  <c r="F76" i="11"/>
  <c r="P76" i="11" s="1"/>
  <c r="F72" i="11"/>
  <c r="P72" i="11" s="1"/>
  <c r="F75" i="11"/>
  <c r="P75" i="11" s="1"/>
  <c r="F71" i="11"/>
  <c r="P71" i="11" s="1"/>
  <c r="B148" i="11"/>
  <c r="B147" i="11"/>
  <c r="B146" i="11"/>
  <c r="B145" i="11"/>
  <c r="B144" i="11"/>
  <c r="B163" i="13"/>
  <c r="B162" i="13"/>
  <c r="B161" i="13"/>
  <c r="B160" i="13"/>
  <c r="B159" i="13"/>
  <c r="L69" i="11" l="1"/>
  <c r="N69" i="11" s="1"/>
  <c r="F133" i="11"/>
  <c r="E133" i="11"/>
  <c r="F115" i="11"/>
  <c r="F114" i="11"/>
  <c r="F130" i="13"/>
  <c r="F129" i="13"/>
  <c r="N128" i="11" l="1"/>
  <c r="N127" i="11"/>
  <c r="N126" i="11"/>
  <c r="N125" i="11"/>
  <c r="N124" i="11"/>
  <c r="N123" i="11"/>
  <c r="N122" i="11"/>
  <c r="N121" i="11"/>
  <c r="N120" i="11"/>
  <c r="M112" i="11"/>
  <c r="L112" i="11"/>
  <c r="K112" i="11"/>
  <c r="I112" i="11"/>
  <c r="N112" i="11" s="1"/>
  <c r="M111" i="11"/>
  <c r="L111" i="11"/>
  <c r="K111" i="11"/>
  <c r="I111" i="11"/>
  <c r="N111" i="11" s="1"/>
  <c r="M110" i="11"/>
  <c r="L110" i="11"/>
  <c r="K110" i="11"/>
  <c r="I110" i="11"/>
  <c r="N110" i="11" s="1"/>
  <c r="M109" i="11"/>
  <c r="L109" i="11"/>
  <c r="K109" i="11"/>
  <c r="I109" i="11"/>
  <c r="N109" i="11" s="1"/>
  <c r="M108" i="11"/>
  <c r="L108" i="11"/>
  <c r="K108" i="11"/>
  <c r="I108" i="11"/>
  <c r="N108" i="11" s="1"/>
  <c r="M107" i="11"/>
  <c r="L107" i="11"/>
  <c r="K107" i="11"/>
  <c r="I107" i="11"/>
  <c r="N107" i="11" s="1"/>
  <c r="M106" i="11"/>
  <c r="L106" i="11"/>
  <c r="K106" i="11"/>
  <c r="I106" i="11"/>
  <c r="N106" i="11" s="1"/>
  <c r="M105" i="11"/>
  <c r="L105" i="11"/>
  <c r="K105" i="11"/>
  <c r="I105" i="11"/>
  <c r="N105" i="11" s="1"/>
  <c r="M104" i="11"/>
  <c r="L104" i="11"/>
  <c r="K104" i="11"/>
  <c r="I104" i="11"/>
  <c r="N104" i="11" s="1"/>
  <c r="N90" i="11"/>
  <c r="M90" i="11"/>
  <c r="K90" i="11"/>
  <c r="O90" i="11" s="1"/>
  <c r="H90" i="11"/>
  <c r="O89" i="11"/>
  <c r="N89" i="11"/>
  <c r="M89" i="11"/>
  <c r="K89" i="11"/>
  <c r="H89" i="11"/>
  <c r="O88" i="11"/>
  <c r="N88" i="11"/>
  <c r="M88" i="11"/>
  <c r="K88" i="11"/>
  <c r="H88" i="11"/>
  <c r="N87" i="11"/>
  <c r="M87" i="11"/>
  <c r="K87" i="11"/>
  <c r="O87" i="11" s="1"/>
  <c r="H87" i="11"/>
  <c r="O86" i="11"/>
  <c r="N86" i="11"/>
  <c r="M86" i="11"/>
  <c r="K86" i="11"/>
  <c r="H86" i="11"/>
  <c r="O85" i="11"/>
  <c r="N85" i="11"/>
  <c r="M85" i="11"/>
  <c r="K85" i="11"/>
  <c r="H85" i="11"/>
  <c r="N84" i="11"/>
  <c r="M84" i="11"/>
  <c r="K84" i="11"/>
  <c r="O84" i="11" s="1"/>
  <c r="H84" i="11"/>
  <c r="O83" i="11"/>
  <c r="N83" i="11"/>
  <c r="M83" i="11"/>
  <c r="K83" i="11"/>
  <c r="H83" i="11"/>
  <c r="N82" i="11"/>
  <c r="M82" i="11"/>
  <c r="H82" i="11"/>
  <c r="K82" i="11" s="1"/>
  <c r="O82" i="11" s="1"/>
  <c r="N113" i="11" l="1"/>
  <c r="M135" i="11" s="1"/>
  <c r="N129" i="11"/>
  <c r="M137" i="11" s="1"/>
  <c r="N91" i="11"/>
  <c r="M134" i="11" s="1"/>
  <c r="J32" i="13"/>
  <c r="J30" i="13"/>
  <c r="J28" i="13"/>
  <c r="M102" i="1" l="1"/>
  <c r="K102" i="1"/>
  <c r="M101" i="1"/>
  <c r="K101" i="1"/>
  <c r="M100" i="1"/>
  <c r="K100" i="1"/>
  <c r="M99" i="1"/>
  <c r="M98" i="1"/>
  <c r="K98" i="1"/>
  <c r="M97" i="1"/>
  <c r="M96" i="1"/>
  <c r="K96" i="1"/>
  <c r="H102" i="13"/>
  <c r="H101" i="13"/>
  <c r="H100" i="13"/>
  <c r="H99" i="13"/>
  <c r="H98" i="13"/>
  <c r="H97" i="13"/>
  <c r="H96" i="13"/>
  <c r="H95" i="13"/>
  <c r="M95" i="13" s="1"/>
  <c r="H94" i="13"/>
  <c r="K94" i="13" s="1"/>
  <c r="O102" i="13"/>
  <c r="N102" i="13"/>
  <c r="M102" i="13"/>
  <c r="K102" i="13"/>
  <c r="O101" i="13"/>
  <c r="N101" i="13"/>
  <c r="M101" i="13"/>
  <c r="K101" i="13"/>
  <c r="O100" i="13"/>
  <c r="N100" i="13"/>
  <c r="M100" i="13"/>
  <c r="K100" i="13"/>
  <c r="N99" i="13"/>
  <c r="M99" i="13"/>
  <c r="K99" i="13"/>
  <c r="O99" i="13" s="1"/>
  <c r="N98" i="13"/>
  <c r="M98" i="13"/>
  <c r="K98" i="13"/>
  <c r="O98" i="13" s="1"/>
  <c r="N97" i="13"/>
  <c r="M97" i="13"/>
  <c r="K97" i="13"/>
  <c r="O97" i="13" s="1"/>
  <c r="O96" i="13"/>
  <c r="N96" i="13"/>
  <c r="M96" i="13"/>
  <c r="K96" i="13"/>
  <c r="N95" i="13"/>
  <c r="M94" i="13" l="1"/>
  <c r="K95" i="13"/>
  <c r="O95" i="13" s="1"/>
  <c r="D32" i="13"/>
  <c r="D30" i="13"/>
  <c r="D28" i="13"/>
  <c r="N23" i="13"/>
  <c r="F152" i="13" l="1"/>
  <c r="E152" i="13"/>
  <c r="D152" i="13"/>
  <c r="F150" i="13"/>
  <c r="E150" i="13"/>
  <c r="D150" i="13"/>
  <c r="F148" i="13"/>
  <c r="E148" i="13"/>
  <c r="D148" i="13"/>
  <c r="N143" i="13"/>
  <c r="N142" i="13"/>
  <c r="N141" i="13"/>
  <c r="N140" i="13"/>
  <c r="N139" i="13"/>
  <c r="N138" i="13"/>
  <c r="N137" i="13"/>
  <c r="N136" i="13"/>
  <c r="N135" i="13"/>
  <c r="M127" i="13"/>
  <c r="L127" i="13"/>
  <c r="K127" i="13"/>
  <c r="I127" i="13"/>
  <c r="N127" i="13" s="1"/>
  <c r="M126" i="13"/>
  <c r="L126" i="13"/>
  <c r="K126" i="13"/>
  <c r="I126" i="13"/>
  <c r="N126" i="13" s="1"/>
  <c r="M125" i="13"/>
  <c r="L125" i="13"/>
  <c r="K125" i="13"/>
  <c r="I125" i="13"/>
  <c r="N125" i="13" s="1"/>
  <c r="M124" i="13"/>
  <c r="L124" i="13"/>
  <c r="K124" i="13"/>
  <c r="I124" i="13"/>
  <c r="N124" i="13" s="1"/>
  <c r="M123" i="13"/>
  <c r="L123" i="13"/>
  <c r="K123" i="13"/>
  <c r="I123" i="13"/>
  <c r="N123" i="13" s="1"/>
  <c r="M122" i="13"/>
  <c r="L122" i="13"/>
  <c r="K122" i="13"/>
  <c r="I122" i="13"/>
  <c r="N122" i="13" s="1"/>
  <c r="K121" i="13"/>
  <c r="L121" i="13" s="1"/>
  <c r="I121" i="13"/>
  <c r="M121" i="13" s="1"/>
  <c r="K120" i="13"/>
  <c r="L120" i="13" s="1"/>
  <c r="I120" i="13"/>
  <c r="M120" i="13" s="1"/>
  <c r="K119" i="13"/>
  <c r="L119" i="13" s="1"/>
  <c r="I119" i="13"/>
  <c r="N111" i="13"/>
  <c r="K111" i="13"/>
  <c r="N110" i="13"/>
  <c r="K110" i="13"/>
  <c r="N109" i="13"/>
  <c r="K109" i="13"/>
  <c r="C104" i="13"/>
  <c r="N94" i="13"/>
  <c r="K88" i="13"/>
  <c r="N88" i="13" s="1"/>
  <c r="K87" i="13"/>
  <c r="N87" i="13" s="1"/>
  <c r="K86" i="13"/>
  <c r="N86" i="13" s="1"/>
  <c r="K85" i="13"/>
  <c r="N85" i="13" s="1"/>
  <c r="K84" i="13"/>
  <c r="N84" i="13" s="1"/>
  <c r="K83" i="13"/>
  <c r="N83" i="13" s="1"/>
  <c r="K82" i="13"/>
  <c r="N82" i="13" s="1"/>
  <c r="K81" i="13"/>
  <c r="N81" i="13" s="1"/>
  <c r="K80" i="13"/>
  <c r="N80" i="13" s="1"/>
  <c r="K79" i="13"/>
  <c r="K78" i="13"/>
  <c r="K77" i="13"/>
  <c r="K76" i="13"/>
  <c r="K75" i="13"/>
  <c r="K74" i="13"/>
  <c r="K73" i="13"/>
  <c r="K72" i="13"/>
  <c r="K71" i="13"/>
  <c r="K70" i="13"/>
  <c r="K69" i="13"/>
  <c r="K68" i="13"/>
  <c r="K67" i="13"/>
  <c r="K66" i="13"/>
  <c r="K65" i="13"/>
  <c r="K64" i="13"/>
  <c r="K63" i="13"/>
  <c r="K62" i="13"/>
  <c r="H54" i="13"/>
  <c r="H53" i="13"/>
  <c r="H51" i="13"/>
  <c r="I44" i="13"/>
  <c r="B44" i="13"/>
  <c r="I41" i="13"/>
  <c r="E41" i="13"/>
  <c r="N65" i="13" l="1"/>
  <c r="N69" i="13"/>
  <c r="N73" i="13"/>
  <c r="N77" i="13"/>
  <c r="N63" i="13"/>
  <c r="N62" i="13"/>
  <c r="N66" i="13"/>
  <c r="N70" i="13"/>
  <c r="N74" i="13"/>
  <c r="N78" i="13"/>
  <c r="N67" i="13"/>
  <c r="N71" i="13"/>
  <c r="N75" i="13"/>
  <c r="N79" i="13"/>
  <c r="N64" i="13"/>
  <c r="N68" i="13"/>
  <c r="N72" i="13"/>
  <c r="N76" i="13"/>
  <c r="N144" i="13"/>
  <c r="M152" i="13" s="1"/>
  <c r="N112" i="13"/>
  <c r="M153" i="13" s="1"/>
  <c r="O94" i="13"/>
  <c r="O103" i="13" s="1"/>
  <c r="M150" i="13" s="1"/>
  <c r="N120" i="13"/>
  <c r="N121" i="13"/>
  <c r="M119" i="13"/>
  <c r="N119" i="13" s="1"/>
  <c r="C104" i="1"/>
  <c r="N128" i="13" l="1"/>
  <c r="M151" i="13" s="1"/>
  <c r="I98" i="11"/>
  <c r="I97" i="11"/>
  <c r="F152" i="1"/>
  <c r="E152" i="1"/>
  <c r="D152" i="1"/>
  <c r="F150" i="1"/>
  <c r="E150" i="1"/>
  <c r="D150" i="1"/>
  <c r="D148" i="1"/>
  <c r="F148" i="1"/>
  <c r="E148" i="1"/>
  <c r="M57" i="11" l="1"/>
  <c r="M56" i="11"/>
  <c r="M55" i="11"/>
  <c r="M54" i="11"/>
  <c r="M53" i="11"/>
  <c r="M52" i="11"/>
  <c r="M51" i="11"/>
  <c r="M39" i="11"/>
  <c r="M38" i="11"/>
  <c r="M37" i="11"/>
  <c r="M36" i="11"/>
  <c r="M35" i="11"/>
  <c r="M34" i="11"/>
  <c r="M33" i="11"/>
  <c r="N143" i="1"/>
  <c r="N142" i="1"/>
  <c r="N140" i="1"/>
  <c r="N139" i="1"/>
  <c r="N138" i="1"/>
  <c r="N137" i="1"/>
  <c r="N136" i="1"/>
  <c r="N135" i="1"/>
  <c r="K33" i="11"/>
  <c r="K34" i="11"/>
  <c r="K35" i="11"/>
  <c r="K36" i="11"/>
  <c r="K37" i="11"/>
  <c r="K38" i="11"/>
  <c r="K39" i="11"/>
  <c r="K51" i="11"/>
  <c r="K52" i="11"/>
  <c r="K54" i="11"/>
  <c r="K55" i="11"/>
  <c r="K56" i="11"/>
  <c r="K57" i="11"/>
  <c r="P67" i="11"/>
  <c r="P68" i="11"/>
  <c r="K71" i="11"/>
  <c r="K72" i="11"/>
  <c r="N72" i="11" s="1"/>
  <c r="K73" i="11"/>
  <c r="N73" i="11" s="1"/>
  <c r="K74" i="11"/>
  <c r="N74" i="11" s="1"/>
  <c r="K75" i="11"/>
  <c r="N75" i="11" s="1"/>
  <c r="K76" i="11"/>
  <c r="N76" i="11" s="1"/>
  <c r="K98" i="11"/>
  <c r="N98" i="11" s="1"/>
  <c r="N71" i="11" l="1"/>
  <c r="L71" i="11"/>
  <c r="M58" i="11"/>
  <c r="M60" i="11" s="1"/>
  <c r="C74" i="4" s="1"/>
  <c r="I96" i="11" s="1"/>
  <c r="M40" i="11"/>
  <c r="M42" i="11" s="1"/>
  <c r="N77" i="11" l="1"/>
  <c r="M133" i="11" s="1"/>
  <c r="C73" i="4"/>
  <c r="K111" i="1"/>
  <c r="N111" i="1" s="1"/>
  <c r="K110" i="1"/>
  <c r="N110" i="1" s="1"/>
  <c r="K109" i="1"/>
  <c r="N109" i="1" s="1"/>
  <c r="D87" i="8"/>
  <c r="K96" i="11" l="1"/>
  <c r="N96" i="11" s="1"/>
  <c r="K97" i="11"/>
  <c r="N97" i="11" s="1"/>
  <c r="H95" i="1"/>
  <c r="K95" i="1" s="1"/>
  <c r="H96" i="1"/>
  <c r="H97" i="1"/>
  <c r="K97" i="1" s="1"/>
  <c r="H98" i="1"/>
  <c r="H99" i="1"/>
  <c r="K99" i="1" s="1"/>
  <c r="H100" i="1"/>
  <c r="H101" i="1"/>
  <c r="H102" i="1"/>
  <c r="K94" i="1"/>
  <c r="N99" i="11" l="1"/>
  <c r="M136" i="11" s="1"/>
  <c r="D36" i="8" l="1"/>
  <c r="D37" i="8"/>
  <c r="D38" i="8"/>
  <c r="D39" i="8"/>
  <c r="D40" i="8"/>
  <c r="D35" i="8"/>
  <c r="D34" i="8"/>
  <c r="D46" i="8" s="1"/>
  <c r="M139" i="11" l="1"/>
  <c r="M154" i="1" s="1"/>
  <c r="K82" i="1"/>
  <c r="L82" i="1" s="1"/>
  <c r="N82" i="1" s="1"/>
  <c r="K83" i="1"/>
  <c r="L83" i="1" s="1"/>
  <c r="N83" i="1" s="1"/>
  <c r="K84" i="1"/>
  <c r="L84" i="1" s="1"/>
  <c r="N84" i="1" s="1"/>
  <c r="K85" i="1"/>
  <c r="L85" i="1" s="1"/>
  <c r="N85" i="1" s="1"/>
  <c r="K86" i="1"/>
  <c r="N86" i="1" l="1"/>
  <c r="L86" i="1"/>
  <c r="K122" i="1"/>
  <c r="K123" i="1"/>
  <c r="K124" i="1"/>
  <c r="K125" i="1"/>
  <c r="K126" i="1"/>
  <c r="K127" i="1"/>
  <c r="L122" i="1"/>
  <c r="L123" i="1"/>
  <c r="L124" i="1"/>
  <c r="L125" i="1"/>
  <c r="L126" i="1"/>
  <c r="L127" i="1"/>
  <c r="I120" i="1"/>
  <c r="I121" i="1"/>
  <c r="M121" i="1" s="1"/>
  <c r="I122" i="1"/>
  <c r="I123" i="1"/>
  <c r="I124" i="1"/>
  <c r="I125" i="1"/>
  <c r="I126" i="1"/>
  <c r="I127" i="1"/>
  <c r="I119" i="1"/>
  <c r="M122" i="1"/>
  <c r="M123" i="1"/>
  <c r="M124" i="1"/>
  <c r="M125" i="1"/>
  <c r="M126" i="1"/>
  <c r="M127" i="1"/>
  <c r="N112" i="1" l="1"/>
  <c r="M152" i="1" s="1"/>
  <c r="N144" i="1" l="1"/>
  <c r="M151" i="1" s="1"/>
  <c r="O103" i="1"/>
  <c r="M149" i="1" s="1"/>
  <c r="N122" i="1" l="1"/>
  <c r="N123" i="1"/>
  <c r="N124" i="1"/>
  <c r="N125" i="1"/>
  <c r="N126" i="1"/>
  <c r="N127" i="1"/>
  <c r="M120" i="1" l="1"/>
  <c r="M119" i="1"/>
  <c r="E27" i="4" l="1"/>
  <c r="E28" i="4"/>
  <c r="E29" i="4"/>
  <c r="E31" i="4"/>
  <c r="E23" i="4"/>
  <c r="E25" i="4"/>
  <c r="E26" i="4"/>
  <c r="E22" i="4"/>
  <c r="B46" i="8"/>
  <c r="B45" i="8"/>
  <c r="B44" i="8"/>
  <c r="B43" i="8"/>
  <c r="B42" i="8"/>
  <c r="B41" i="8"/>
  <c r="K120" i="1" l="1"/>
  <c r="L120" i="1" s="1"/>
  <c r="N120" i="1" s="1"/>
  <c r="K121" i="1"/>
  <c r="L121" i="1" s="1"/>
  <c r="N121" i="1" s="1"/>
  <c r="K119" i="1"/>
  <c r="L119" i="1" s="1"/>
  <c r="N119" i="1" s="1"/>
  <c r="N128" i="1" l="1"/>
  <c r="M150" i="1" s="1"/>
  <c r="K87" i="1"/>
  <c r="L87" i="1" s="1"/>
  <c r="B2" i="8"/>
  <c r="B3" i="8"/>
  <c r="B4" i="8"/>
  <c r="B5" i="8"/>
  <c r="B6" i="8"/>
  <c r="B8" i="8"/>
  <c r="B9" i="8"/>
  <c r="B10" i="8"/>
  <c r="B11" i="8"/>
  <c r="B12" i="8"/>
  <c r="B13" i="8"/>
  <c r="B15" i="8"/>
  <c r="B16" i="8"/>
  <c r="B17" i="8"/>
  <c r="B18" i="8"/>
  <c r="B19" i="8"/>
  <c r="B20" i="8"/>
  <c r="B29" i="8"/>
  <c r="B30" i="8"/>
  <c r="B31" i="8"/>
  <c r="B32" i="8"/>
  <c r="B33" i="8"/>
  <c r="B34" i="8"/>
  <c r="B35" i="8"/>
  <c r="B36" i="8"/>
  <c r="B37" i="8"/>
  <c r="B38" i="8"/>
  <c r="B39" i="8"/>
  <c r="B40" i="8"/>
  <c r="B1" i="8"/>
  <c r="K62" i="1"/>
  <c r="L62" i="1" s="1"/>
  <c r="N62" i="1" s="1"/>
  <c r="K63" i="1"/>
  <c r="L63" i="1" s="1"/>
  <c r="N63" i="1" s="1"/>
  <c r="K64" i="1"/>
  <c r="L64" i="1" s="1"/>
  <c r="N64" i="1" s="1"/>
  <c r="K65" i="1"/>
  <c r="L65" i="1" s="1"/>
  <c r="N65" i="1" s="1"/>
  <c r="K66" i="1"/>
  <c r="L66" i="1" s="1"/>
  <c r="N66" i="1" s="1"/>
  <c r="K67" i="1"/>
  <c r="L67" i="1" s="1"/>
  <c r="N67" i="1" s="1"/>
  <c r="K68" i="1"/>
  <c r="L68" i="1" s="1"/>
  <c r="N68" i="1" s="1"/>
  <c r="K69" i="1"/>
  <c r="L69" i="1" s="1"/>
  <c r="N69" i="1" s="1"/>
  <c r="K70" i="1"/>
  <c r="L70" i="1" s="1"/>
  <c r="N70" i="1" s="1"/>
  <c r="K71" i="1"/>
  <c r="L71" i="1" s="1"/>
  <c r="N71" i="1" s="1"/>
  <c r="K72" i="1"/>
  <c r="L72" i="1" s="1"/>
  <c r="N72" i="1" s="1"/>
  <c r="K73" i="1"/>
  <c r="L73" i="1" s="1"/>
  <c r="N73" i="1" s="1"/>
  <c r="N74" i="1"/>
  <c r="K75" i="1"/>
  <c r="L75" i="1" s="1"/>
  <c r="N75" i="1" s="1"/>
  <c r="K76" i="1"/>
  <c r="L76" i="1" s="1"/>
  <c r="N76" i="1" s="1"/>
  <c r="K77" i="1"/>
  <c r="L77" i="1" s="1"/>
  <c r="N77" i="1" s="1"/>
  <c r="K78" i="1"/>
  <c r="L78" i="1" s="1"/>
  <c r="N78" i="1" s="1"/>
  <c r="K79" i="1"/>
  <c r="L79" i="1" s="1"/>
  <c r="N79" i="1" s="1"/>
  <c r="K80" i="1"/>
  <c r="L80" i="1" s="1"/>
  <c r="N80" i="1" s="1"/>
  <c r="K81" i="1"/>
  <c r="L81" i="1" s="1"/>
  <c r="N81" i="1" s="1"/>
  <c r="H54" i="1"/>
  <c r="K61" i="13" l="1"/>
  <c r="L61" i="1"/>
  <c r="H51" i="1"/>
  <c r="H53" i="1"/>
  <c r="I41" i="1"/>
  <c r="E41" i="1"/>
  <c r="I44" i="1"/>
  <c r="B44" i="1"/>
  <c r="L61" i="13" l="1"/>
  <c r="N61" i="13" s="1"/>
  <c r="N89" i="13" s="1"/>
  <c r="M148" i="13" s="1"/>
  <c r="M156" i="13" s="1"/>
  <c r="N61" i="1"/>
  <c r="N89" i="1" s="1"/>
  <c r="M148" i="1" l="1"/>
  <c r="M153" i="1" s="1"/>
  <c r="M155" i="1" s="1"/>
  <c r="M156" i="1" l="1"/>
  <c r="M157" i="1" s="1"/>
  <c r="D82" i="8" l="1"/>
  <c r="D98" i="8" s="1"/>
  <c r="D94" i="8"/>
  <c r="D86" i="8"/>
  <c r="D102" i="8" s="1"/>
  <c r="D92" i="8"/>
  <c r="D84" i="8"/>
  <c r="D100" i="8" s="1"/>
  <c r="D79" i="8"/>
  <c r="D95" i="8" s="1"/>
  <c r="D89" i="8" l="1"/>
  <c r="D81" i="8"/>
  <c r="D97" i="8" s="1"/>
  <c r="D80" i="8"/>
  <c r="D96" i="8" s="1"/>
  <c r="D88" i="8"/>
  <c r="D93" i="8"/>
  <c r="D85" i="8"/>
  <c r="D101" i="8" s="1"/>
  <c r="D90" i="8"/>
  <c r="D91" i="8"/>
  <c r="D83" i="8"/>
  <c r="D99" i="8" s="1"/>
</calcChain>
</file>

<file path=xl/sharedStrings.xml><?xml version="1.0" encoding="utf-8"?>
<sst xmlns="http://schemas.openxmlformats.org/spreadsheetml/2006/main" count="1394" uniqueCount="546">
  <si>
    <t>DATES</t>
  </si>
  <si>
    <t>NPOCC REF</t>
  </si>
  <si>
    <t>No Officers</t>
  </si>
  <si>
    <t>Resource Description</t>
  </si>
  <si>
    <t>No of Days</t>
  </si>
  <si>
    <t>Force</t>
  </si>
  <si>
    <t>Crest</t>
  </si>
  <si>
    <t>Please Choose From List</t>
  </si>
  <si>
    <t>AVON &amp; SOMERSET CONSTABULARY</t>
  </si>
  <si>
    <t>A&amp;S</t>
  </si>
  <si>
    <t>CHESHIRE CONSTABULARY</t>
  </si>
  <si>
    <t>BEDFORDSHIRE POLICE</t>
  </si>
  <si>
    <t>BEDS</t>
  </si>
  <si>
    <t>BRITISH TRANSPORT POLICE</t>
  </si>
  <si>
    <t>BTP</t>
  </si>
  <si>
    <t>CAMBRIDGESHIRE CONSTABULARY</t>
  </si>
  <si>
    <t>CAMBS</t>
  </si>
  <si>
    <t>CHES</t>
  </si>
  <si>
    <t>CITY OF LONDON POLICE</t>
  </si>
  <si>
    <t>CUMB</t>
  </si>
  <si>
    <t>CLEVELAND POLICE</t>
  </si>
  <si>
    <t>CLEVE</t>
  </si>
  <si>
    <t>CUMBRIA CONSTABULARY</t>
  </si>
  <si>
    <t>DERBYSHIRE CONSTABULARY</t>
  </si>
  <si>
    <t>DERB</t>
  </si>
  <si>
    <t>DEVON &amp; CORNWALL POLICE</t>
  </si>
  <si>
    <t>D&amp;C</t>
  </si>
  <si>
    <t>DORSET POLICE</t>
  </si>
  <si>
    <t>DORS</t>
  </si>
  <si>
    <t>DURHAM CONSTABULARY</t>
  </si>
  <si>
    <t>DURM</t>
  </si>
  <si>
    <t>DYFED-POWYS POLICE</t>
  </si>
  <si>
    <t>DYPOW</t>
  </si>
  <si>
    <t>ESSEX POLICE</t>
  </si>
  <si>
    <t>ESSEX</t>
  </si>
  <si>
    <t>GLOUCESTERSHIRE CONSTABULARY</t>
  </si>
  <si>
    <t>GLOUCS</t>
  </si>
  <si>
    <t>GREATER MANCHESTER POLICE</t>
  </si>
  <si>
    <t>GMP</t>
  </si>
  <si>
    <t>GWENT POLICE</t>
  </si>
  <si>
    <t>GWEN</t>
  </si>
  <si>
    <t>HAMPSHIRE CONSTABULARY</t>
  </si>
  <si>
    <t>HANTS</t>
  </si>
  <si>
    <t>HERTFORDSHIRE CONSTABULARY</t>
  </si>
  <si>
    <t>HERTS</t>
  </si>
  <si>
    <t>HUMBERSIDE POLICE</t>
  </si>
  <si>
    <t>HUMBS</t>
  </si>
  <si>
    <t>KENT POLICE</t>
  </si>
  <si>
    <t>KENT</t>
  </si>
  <si>
    <t>LANCASHIRE CONSTABULARY</t>
  </si>
  <si>
    <t>LANCS</t>
  </si>
  <si>
    <t>LEICESTERSHIRE POLICE</t>
  </si>
  <si>
    <t>LEICS</t>
  </si>
  <si>
    <t>LINCOLNSHIRE POLICE</t>
  </si>
  <si>
    <t>LINCS</t>
  </si>
  <si>
    <t>MERSEYSIDE POLICE</t>
  </si>
  <si>
    <t>MERSEY</t>
  </si>
  <si>
    <t>METROPOLITAN POLICE</t>
  </si>
  <si>
    <t>MPS</t>
  </si>
  <si>
    <t>NORFOLK CONSTABULARY</t>
  </si>
  <si>
    <t>NORF</t>
  </si>
  <si>
    <t>NORTH WALES POLICE</t>
  </si>
  <si>
    <t>NWP</t>
  </si>
  <si>
    <t>NORTH YORKSHIRE POLICE</t>
  </si>
  <si>
    <t>NYP</t>
  </si>
  <si>
    <t>NORTHAMPTONSHIRE POLICE</t>
  </si>
  <si>
    <t>NORTH</t>
  </si>
  <si>
    <t>PSNI</t>
  </si>
  <si>
    <t>NORTHUMBRIA POLICE</t>
  </si>
  <si>
    <t>NORUM</t>
  </si>
  <si>
    <t>NOTTINGHAMSHIRE POLICE</t>
  </si>
  <si>
    <t>NOTTS</t>
  </si>
  <si>
    <t>SOUTH WALES POLICE</t>
  </si>
  <si>
    <t>SWP</t>
  </si>
  <si>
    <t>SOUTH YORKSHIRE POLICE</t>
  </si>
  <si>
    <t>SYP</t>
  </si>
  <si>
    <t>STAFFORDSHIRE POLICE</t>
  </si>
  <si>
    <t>STAFFS</t>
  </si>
  <si>
    <t>SUFFOLK CONSTABULARY</t>
  </si>
  <si>
    <t>SUFF</t>
  </si>
  <si>
    <t>SURREY POLICE</t>
  </si>
  <si>
    <t>SURR</t>
  </si>
  <si>
    <t>SUSSEX POLICE</t>
  </si>
  <si>
    <t>SUSS</t>
  </si>
  <si>
    <t>THAMES VALLEY POLICE</t>
  </si>
  <si>
    <t>TVP</t>
  </si>
  <si>
    <t>WARWICKSHIRE POLICE</t>
  </si>
  <si>
    <t>WARW</t>
  </si>
  <si>
    <t>WEST MERCIA POLICE</t>
  </si>
  <si>
    <t xml:space="preserve">WEST </t>
  </si>
  <si>
    <t>WEST MIDLANDS POLICE</t>
  </si>
  <si>
    <t>WMP</t>
  </si>
  <si>
    <t>WEST YORKSHIRE POLICE</t>
  </si>
  <si>
    <t>WYP</t>
  </si>
  <si>
    <t>WILTSHIRE POLICE</t>
  </si>
  <si>
    <t>WILTS</t>
  </si>
  <si>
    <t>NPCC</t>
  </si>
  <si>
    <t>From:</t>
  </si>
  <si>
    <t>To:</t>
  </si>
  <si>
    <t>(Include any travel days as extra days either side of deployment dates)</t>
  </si>
  <si>
    <t>Name:</t>
  </si>
  <si>
    <t>Email address:</t>
  </si>
  <si>
    <t>UKBA</t>
  </si>
  <si>
    <t>NCA</t>
  </si>
  <si>
    <t>HMRC</t>
  </si>
  <si>
    <t>FCO</t>
  </si>
  <si>
    <t>Rank</t>
  </si>
  <si>
    <t xml:space="preserve"> </t>
  </si>
  <si>
    <t>Constable</t>
  </si>
  <si>
    <t>Sergeant</t>
  </si>
  <si>
    <t>Inspector</t>
  </si>
  <si>
    <t>Chief Inspector</t>
  </si>
  <si>
    <t>Superintendent</t>
  </si>
  <si>
    <t>Mounted Section Groom</t>
  </si>
  <si>
    <t>Equipment</t>
  </si>
  <si>
    <t>Section</t>
  </si>
  <si>
    <t>Equipment: Please choose from List</t>
  </si>
  <si>
    <t>Police Horse</t>
  </si>
  <si>
    <t>Mounted Section</t>
  </si>
  <si>
    <t>Police Dog</t>
  </si>
  <si>
    <t>Dog Unit</t>
  </si>
  <si>
    <t>Specialised equipment</t>
  </si>
  <si>
    <t>Various</t>
  </si>
  <si>
    <t>Specialised underwater search equipment</t>
  </si>
  <si>
    <t>Marine Unit</t>
  </si>
  <si>
    <t>Consumables</t>
  </si>
  <si>
    <t>Consumables: Please choose from List</t>
  </si>
  <si>
    <t>Refreshments/Meal Costs</t>
  </si>
  <si>
    <t>Accommodation if not provided</t>
  </si>
  <si>
    <t>Other Consumable cost</t>
  </si>
  <si>
    <t>Please Give Details</t>
  </si>
  <si>
    <t>Grade</t>
  </si>
  <si>
    <t>Charging Basis</t>
  </si>
  <si>
    <t>Choose Mutual Aid Grade</t>
  </si>
  <si>
    <t xml:space="preserve">Mutual aid in excess of six calendar months. </t>
  </si>
  <si>
    <t>De-minimus threshold does not apply.   Cost other units deployed</t>
  </si>
  <si>
    <t>Select total PSU hours</t>
  </si>
  <si>
    <t>Phone No:</t>
  </si>
  <si>
    <t>REQUESTING force contact details</t>
  </si>
  <si>
    <t>SUPPLYING force contact details</t>
  </si>
  <si>
    <t>Name/Location of Operation:</t>
  </si>
  <si>
    <t>BANK HOLIDAY</t>
  </si>
  <si>
    <t>GRADE 0</t>
  </si>
  <si>
    <t>GRADE 1</t>
  </si>
  <si>
    <t>GRADE 2</t>
  </si>
  <si>
    <t>Charge basic salary hours worked x 2.0 for PC, Sgt &amp; Police Staff and x 1.25 for Insp and above</t>
  </si>
  <si>
    <t>Charge basic salary hours worked x 1.5 for PC, Sgt &amp; Police Staff and x 1.25 for Insp and above</t>
  </si>
  <si>
    <t>Charge basic salary hours worked x 1.33 for PC &amp; Sgt, x 1.5 for Police Staff and x 1.25 for Insp and above</t>
  </si>
  <si>
    <t>Description</t>
  </si>
  <si>
    <t>REACTIVE SPONTANEOUS DEPLOYMENT</t>
  </si>
  <si>
    <t>PLANNED EVENT</t>
  </si>
  <si>
    <t>SPECIALIST STAFF DEPLOYMENT</t>
  </si>
  <si>
    <t>Notice Period</t>
  </si>
  <si>
    <t>0-15 days Notice</t>
  </si>
  <si>
    <t>15 days and over Notice given</t>
  </si>
  <si>
    <t>Force REQUESTING Mutual aid:</t>
  </si>
  <si>
    <t>Force SUPPLYING Mutual aid:</t>
  </si>
  <si>
    <t>For example, an unforeseen demand such as an initial outbreak of disorder or investigation, where another force is called upon to assist. A definition of time for such spontaneous support is from 0 to 15 days duration;</t>
  </si>
  <si>
    <t>Examples</t>
  </si>
  <si>
    <t>N/A</t>
  </si>
  <si>
    <t>PROLONGED MUTUAL AID</t>
  </si>
  <si>
    <t>SECONDMENT</t>
  </si>
  <si>
    <t>Cost plus national fixed administration fee</t>
  </si>
  <si>
    <t>ATTACHMENT</t>
  </si>
  <si>
    <t>Examples are family liaison officers, hostage negotiators and High Tech Crime Investigators. The individuals concerned may provide this type of mutual aid without necessarily leaving their own force area.</t>
  </si>
  <si>
    <t>POLICE SCOTLAND</t>
  </si>
  <si>
    <t>POLICE SERVICE NORTHERN IRELAND</t>
  </si>
  <si>
    <t>CIVIL NUCLEAR CONSTABULARY</t>
  </si>
  <si>
    <t>MINISTRY OF DEFENCE POLICE</t>
  </si>
  <si>
    <t>MUTUAL AID COST GRADE</t>
  </si>
  <si>
    <t>Where the deployment is for 16 days or more but less than 90 days it will be defined as prolonged mutual aid</t>
  </si>
  <si>
    <t>Charging Basis:</t>
  </si>
  <si>
    <t>Examples:</t>
  </si>
  <si>
    <t>DO NOT USE THIS FORM.  USE SECONDMENT CHARGING FORMULA</t>
  </si>
  <si>
    <t>MUTUAL AID OF 15 DAYS TO 90 DAYS DURATION</t>
  </si>
  <si>
    <t xml:space="preserve">For Example, a pre planned football fixture that falls on a BH.  </t>
  </si>
  <si>
    <t xml:space="preserve">Employable Cost (Inc. Basic Pay, allowances, employers NI &amp; Overtime) but (Excl Pension). </t>
  </si>
  <si>
    <t>Notice Period:</t>
  </si>
  <si>
    <t>Select Cost Grade from drop down list</t>
  </si>
  <si>
    <t>Definition:</t>
  </si>
  <si>
    <t>PO No:</t>
  </si>
  <si>
    <t>PSU DE-MINIMUS RULE</t>
  </si>
  <si>
    <t>Are PSUs being Supplied?</t>
  </si>
  <si>
    <t>All PSU Costs (inc.1st 64 hours) costs can be recharged</t>
  </si>
  <si>
    <t>Are the total PSU hours deployed greater than 64 hours?</t>
  </si>
  <si>
    <t>Mounted Officer</t>
  </si>
  <si>
    <t>C/Superintendent</t>
  </si>
  <si>
    <t>PSU costs CAN NOT not be recharged *</t>
  </si>
  <si>
    <t>* Note: Confirm with receiving Force that 65 hours have not been reached in AGGREGATE, by other forces also supplying PSUs.</t>
  </si>
  <si>
    <t>Police Marine Officer</t>
  </si>
  <si>
    <t>Rank/Grade</t>
  </si>
  <si>
    <t>Date(s):</t>
  </si>
  <si>
    <t>Please Choose</t>
  </si>
  <si>
    <t>GRADED Rate</t>
  </si>
  <si>
    <t>MA Cost Recovery</t>
  </si>
  <si>
    <t>MUTUAL AID GREATER THAN 6 MO</t>
  </si>
  <si>
    <t>INDIVIDUAL MUTUAL AID &gt; 90 days</t>
  </si>
  <si>
    <t>Daily Fixed Rate</t>
  </si>
  <si>
    <t>Mileage Fixed Rate</t>
  </si>
  <si>
    <t>MA Vehicle Recovery</t>
  </si>
  <si>
    <t xml:space="preserve">Total Miles </t>
  </si>
  <si>
    <t>No of Vehicles</t>
  </si>
  <si>
    <t>Unmarked Car</t>
  </si>
  <si>
    <t>VEHICLE TOTAL</t>
  </si>
  <si>
    <t>No of Officers</t>
  </si>
  <si>
    <t>ALLOWANCE TOTAL</t>
  </si>
  <si>
    <t>Uniform</t>
  </si>
  <si>
    <t>Medical Supplies</t>
  </si>
  <si>
    <t>Type of Vehicle</t>
  </si>
  <si>
    <t>Daily Rate £</t>
  </si>
  <si>
    <t>Miles per Litre</t>
  </si>
  <si>
    <t>Price per mile</t>
  </si>
  <si>
    <t xml:space="preserve">Public Order Carrier </t>
  </si>
  <si>
    <t xml:space="preserve">General Purpose Van </t>
  </si>
  <si>
    <t xml:space="preserve">Marked Car </t>
  </si>
  <si>
    <t>Motorcycle</t>
  </si>
  <si>
    <t xml:space="preserve">Firearms ARV </t>
  </si>
  <si>
    <t xml:space="preserve">Armoured Vehicle </t>
  </si>
  <si>
    <t xml:space="preserve">Other Specialist Vehicles </t>
  </si>
  <si>
    <t>Input Petrol: Price per Litre</t>
  </si>
  <si>
    <t>Input Diesel: Price per Litre</t>
  </si>
  <si>
    <t>Mileage Cost</t>
  </si>
  <si>
    <t>Vehicle Cost</t>
  </si>
  <si>
    <t>Notes:</t>
  </si>
  <si>
    <t xml:space="preserve">Allowances </t>
  </si>
  <si>
    <t>Inspectors Bonus</t>
  </si>
  <si>
    <t>Other agreed Bonus</t>
  </si>
  <si>
    <t>Rates</t>
  </si>
  <si>
    <t>Overnight allowance</t>
  </si>
  <si>
    <t>Hardship allowance</t>
  </si>
  <si>
    <t>Other Agreed Rate</t>
  </si>
  <si>
    <t>MA Allowances recovery</t>
  </si>
  <si>
    <t>Allowance Type</t>
  </si>
  <si>
    <t>Vehicle Type</t>
  </si>
  <si>
    <t>Please choose:</t>
  </si>
  <si>
    <t>Cash advance</t>
  </si>
  <si>
    <t>Accommodation</t>
  </si>
  <si>
    <t>Actual Costs</t>
  </si>
  <si>
    <t>MA Consumables recovery</t>
  </si>
  <si>
    <t xml:space="preserve">Please choose </t>
  </si>
  <si>
    <t>No of Units</t>
  </si>
  <si>
    <t>No of days</t>
  </si>
  <si>
    <t>Daily rate</t>
  </si>
  <si>
    <t>All non-consumable equipment acquired and fully charged for under a mutual aid agreement will become the property of the host force unless otherwise agreed.</t>
  </si>
  <si>
    <t xml:space="preserve"> EQUIPMENT TOTAL</t>
  </si>
  <si>
    <t>TOTAL MUTUAL AID CLAIM</t>
  </si>
  <si>
    <t>CONSUMABLES TOTAL</t>
  </si>
  <si>
    <t>MUTUAL AID THAT IS CANCELLED WITHIN 16 DAYS OF INITIAL DEPLOYMENT WILL INCUR A COST, REFLECTING THE OFFICER HOURS AND RESOURCES THAT WERE UNCANCELLABLE WITHOUT COST TO THE DONOR FORCE. DONOR FORCES WILL ENDEAVOUR TO REDEPLOY RESOURCES TO REDUCE THE COST TO THE HOST FORCE, THUS REDUCING ANY INCURRED CHARGES (WHICH STILL INCUR 5% ADMINISTRATION UPLIFT.)</t>
  </si>
  <si>
    <t>Drop down list available</t>
  </si>
  <si>
    <t>Key Code:</t>
  </si>
  <si>
    <t>Calculations automatically completed</t>
  </si>
  <si>
    <t>Free text fields for notes/references</t>
  </si>
  <si>
    <t>OPERATION DETAILS</t>
  </si>
  <si>
    <t>Grade 0</t>
  </si>
  <si>
    <t>Grade 1</t>
  </si>
  <si>
    <t>Grade 2</t>
  </si>
  <si>
    <r>
      <t xml:space="preserve">Employable Cost (Inc. Basic Pay, allowances, employers NI) but (Excl Pension).      </t>
    </r>
    <r>
      <rPr>
        <b/>
        <i/>
        <sz val="7.5"/>
        <rFont val="Arial"/>
        <family val="2"/>
      </rPr>
      <t>[NB: CALCULATE BY ENTERING NO OF DAYS AND 1 HOUR ONLY IN HRS DEPLOYED COLUMN]</t>
    </r>
  </si>
  <si>
    <t>Daily Rate: Full employable cost including pension cost.      [NB: CALCULATE BY ENTERING NO OF DAYS AND 1 HOUR ONLY IN HRS DEPLOYED COLUMN]</t>
  </si>
  <si>
    <t>Dive Technician</t>
  </si>
  <si>
    <t>Consumables Type</t>
  </si>
  <si>
    <t>Equipment Type</t>
  </si>
  <si>
    <t>Police Horses and Marine Units are Team Deployed Resources and due to scarcity, will be charged for, following the guidelines provided in Appendix 8 of the NPCC Guidance or under any locally established agreement(s) for supply.</t>
  </si>
  <si>
    <t>Values must be entered to enable calculations</t>
  </si>
  <si>
    <t>IDR RESOURCES</t>
  </si>
  <si>
    <t>IDR Resource Calculation</t>
  </si>
  <si>
    <t>HOURS Deployed</t>
  </si>
  <si>
    <t>TDR RESOURCES</t>
  </si>
  <si>
    <t>TDR Resource Calculation</t>
  </si>
  <si>
    <t>At this time NPoCC only defines two Team Deployed Resources (TDR) these are: Mounted and Marine</t>
  </si>
  <si>
    <t>IDR RESOURCES TOTAL</t>
  </si>
  <si>
    <t>TDR RESOURCES TOTAL</t>
  </si>
  <si>
    <t>Productive Days</t>
  </si>
  <si>
    <t>Specialist equipment</t>
  </si>
  <si>
    <t>TDR Equipment</t>
  </si>
  <si>
    <t xml:space="preserve"> TDR EQUIPMENT TOTAL</t>
  </si>
  <si>
    <t xml:space="preserve">Annual Cost of Training </t>
  </si>
  <si>
    <t xml:space="preserve">Annual Cost of Feed </t>
  </si>
  <si>
    <t>Any applicable Annual Income / Sponsorship</t>
  </si>
  <si>
    <t xml:space="preserve">Annual Cost of Serviced Stables and Grazing  </t>
  </si>
  <si>
    <t xml:space="preserve">Annual Tack/equipment Cost </t>
  </si>
  <si>
    <t>Annual Cost of Vet Treatment</t>
  </si>
  <si>
    <t>Annual Cost</t>
  </si>
  <si>
    <t>ANNUAL  TOTAL</t>
  </si>
  <si>
    <t>TDR Resources</t>
  </si>
  <si>
    <t>Enter Total No. of Horses in Mounted Unit:</t>
  </si>
  <si>
    <t>Cost per Horse</t>
  </si>
  <si>
    <t>MOUNTED UNIT ANNUAL COST</t>
  </si>
  <si>
    <t>Daily Horse Calculation</t>
  </si>
  <si>
    <t>DAILY HORSE COST</t>
  </si>
  <si>
    <t>Annual Cost of Replacement Animal</t>
  </si>
  <si>
    <t>MARINE/DIVE UNIT ANNUAL COST</t>
  </si>
  <si>
    <t>Annual Cost of Training/Accreditation</t>
  </si>
  <si>
    <t>Annual Cost of Marine/Dive Facilities</t>
  </si>
  <si>
    <t xml:space="preserve">Annual Revenue/Capital Equipment Replacement Cost </t>
  </si>
  <si>
    <t xml:space="preserve">Annual Revenue/Capital Marine Craft Replacement Cost </t>
  </si>
  <si>
    <t>Daily Marine/Dive Calculation</t>
  </si>
  <si>
    <t>Enter Total No. of Marine Officers in Marine/Dive Unit:</t>
  </si>
  <si>
    <t xml:space="preserve">Annual Revenue Equipment Maintenance Cost </t>
  </si>
  <si>
    <t xml:space="preserve">Annual Revenue Marine Craft Maintenance Cost </t>
  </si>
  <si>
    <t>DAILY DIVE/MARINE RUNNING COST</t>
  </si>
  <si>
    <t xml:space="preserve">TDR </t>
  </si>
  <si>
    <t>Cost per Officer</t>
  </si>
  <si>
    <t>Cost Type</t>
  </si>
  <si>
    <t>Mounted Unit</t>
  </si>
  <si>
    <t>Are PSUs being Supplied? - YES</t>
  </si>
  <si>
    <t>Are PSUs being Supplied? - NO</t>
  </si>
  <si>
    <t/>
  </si>
  <si>
    <t>Forces should use the Mounted and Marine Unit methodology, below, to calculate the daily rate for a horse/marine equipment  which will flow through the worksheet.  However, should forces not want to declare the cost of the units they can overtype the daily rate in the TDR equipment box below.</t>
  </si>
  <si>
    <t>USER NOTES:</t>
  </si>
  <si>
    <t xml:space="preserve">1.THIS CLAIM FORM  SHOULD BE USED IN CONJUNCTION WITH THE NPCC GUIDANCE: CHARGING FOR POLICE SERVICES: MUTUAL AID COST RECOVERY.  </t>
  </si>
  <si>
    <t>2.THIS FORM AND THE GUIDANCE WILL BE  UPDATED ANNUALLY WITH NEW CHARGING RATES AND ANY REGULATION OR GUIDANCE CHANGES.</t>
  </si>
  <si>
    <t>Other Agreed bonus</t>
  </si>
  <si>
    <t>TDR RESOURCES SUB-TOTAL</t>
  </si>
  <si>
    <t>IDR ADDL RESOURCES TOTAL</t>
  </si>
  <si>
    <t>PSU Hours - Greater than 64 hours</t>
  </si>
  <si>
    <t>PSU Hours - 64 hours or less</t>
  </si>
  <si>
    <t>Avg hours per Day</t>
  </si>
  <si>
    <t>Avg hours
per Day</t>
  </si>
  <si>
    <t>MA Allowances Recovery (inc NI)</t>
  </si>
  <si>
    <t>Enhanced Overnight/Hardship</t>
  </si>
  <si>
    <t>Basic Overnight</t>
  </si>
  <si>
    <t>Hardship Only</t>
  </si>
  <si>
    <t>ALL IDR RESOURCES TOTAL</t>
  </si>
  <si>
    <t>ALL IDR ALLOWANCES TOTAL</t>
  </si>
  <si>
    <t>ALL IDR VEHICLES/FUEL TOTAL</t>
  </si>
  <si>
    <t>ALL IDR CONSUMABLES TOTAL</t>
  </si>
  <si>
    <t>ALL IDR EQUIPMENT TOTAL</t>
  </si>
  <si>
    <t>ALL IDR SUB-TOTAL</t>
  </si>
  <si>
    <t>Avg Hours Deployed</t>
  </si>
  <si>
    <t>TDR CLAIM FORM TOTALS</t>
  </si>
  <si>
    <t>TDR ALLOWANCES TOTAL</t>
  </si>
  <si>
    <t>TDR VEHICLES &amp; FUEL TOTAL</t>
  </si>
  <si>
    <t>TDR CONSUMABLES TOTAL</t>
  </si>
  <si>
    <t>TDR EQUIPMENT TOTAL</t>
  </si>
  <si>
    <t>TDR OPTIONAL CALCULATION EVIDENCE</t>
  </si>
  <si>
    <t>TDR CLAIM EVIDENCE</t>
  </si>
  <si>
    <t>TDR ALLOWANCE TOTAL</t>
  </si>
  <si>
    <t>TDR VEHICLE TOTAL</t>
  </si>
  <si>
    <t>IDR ADDL RESOURCES</t>
  </si>
  <si>
    <t>IDR ADDL Resource Calculation</t>
  </si>
  <si>
    <t>IDR ADDL ALLOWANCE TOTAL</t>
  </si>
  <si>
    <t>IDR ADDL CONSUMABLES TOTAL</t>
  </si>
  <si>
    <t>ADDL CONSUMABLES TOTAL</t>
  </si>
  <si>
    <t>ADDL VEHICLE TOTAL</t>
  </si>
  <si>
    <t>IDR ADDL Consumables Calculation</t>
  </si>
  <si>
    <t>IDR ADDL CONSUMABLES</t>
  </si>
  <si>
    <t>IDR ADDL Vehicle &amp; fuel Calculation</t>
  </si>
  <si>
    <t>ADDL EQUIPMENT TOTAL</t>
  </si>
  <si>
    <t>IDR ADDL SPECIALIST EQUIPMENT</t>
  </si>
  <si>
    <t>IDR ADDL Equipment Calculation</t>
  </si>
  <si>
    <t>IDR ADDL ALLOWANCES</t>
  </si>
  <si>
    <t>IDR ADDL Allowance Calculation</t>
  </si>
  <si>
    <t>IDR ADDL CLAIM FORM TOTALS</t>
  </si>
  <si>
    <t>IDR ADDL SUB-TOTAL</t>
  </si>
  <si>
    <t>TDR SUB-TOTAL</t>
  </si>
  <si>
    <t>IDR ADDL ALLOWANCES TOTAL</t>
  </si>
  <si>
    <t>IDR ADDL VEHICLES &amp; FUEL TOTAL</t>
  </si>
  <si>
    <t>IDR ADDL EQUIPMENT TOTAL</t>
  </si>
  <si>
    <t>TDR CONSUMABLES</t>
  </si>
  <si>
    <t>TDR Consumables Calculation</t>
  </si>
  <si>
    <t>TDR Vehicle &amp; fuel Calculation</t>
  </si>
  <si>
    <t>TDR Equipment Calculation</t>
  </si>
  <si>
    <t>TDR SPECIALIST EQUIPMENT COSTS</t>
  </si>
  <si>
    <t>TDR Allowance Calculation</t>
  </si>
  <si>
    <t>TDR ALLOWANCES</t>
  </si>
  <si>
    <t>IDR ALLOWANCES</t>
  </si>
  <si>
    <t>IDR Allowance Calculation</t>
  </si>
  <si>
    <t>IDR Equipment Calculation</t>
  </si>
  <si>
    <t>IDR SPECIALIST EQUIPMENT</t>
  </si>
  <si>
    <t>IDR Vehicle &amp; fuel Calculation</t>
  </si>
  <si>
    <t>IDR Consumables Calculation</t>
  </si>
  <si>
    <t>ALL IDR/TDR TOTAL</t>
  </si>
  <si>
    <t>GRAND TOTAL</t>
  </si>
  <si>
    <t xml:space="preserve">4. ONLY ONE CLAIM FORM SHOULD BE USED PER FORCE, EXCEPT WHERE FORM CAPACITY EXCEEDED OR CLAIM SPANS MULTIPLE FINANCIAL YEARS. </t>
  </si>
  <si>
    <t>NOTES</t>
  </si>
  <si>
    <t>If necessary
Overide with
SPS Rate</t>
  </si>
  <si>
    <t xml:space="preserve">Enter Operation NAME Here </t>
  </si>
  <si>
    <t>Value either calculated or can be overwritten</t>
  </si>
  <si>
    <t>Overide
Grade</t>
  </si>
  <si>
    <t>3. IF DEPLOYMENT CROSSES MAR/APR DATE BOUNDARY THEN A SEPARATE FORM FOR EACH FINANCIAL YEAR SHOULD BE USED (DUE TO RATE CHANGES)</t>
  </si>
  <si>
    <t>Special Constable</t>
  </si>
  <si>
    <t>IDR POLICE VEHICLES &amp; FUEL</t>
  </si>
  <si>
    <t xml:space="preserve">IDR CONSUMABLES </t>
  </si>
  <si>
    <t>Hire Cars</t>
  </si>
  <si>
    <t>IDR ADDL POLICE VEHICLES &amp; FUEL</t>
  </si>
  <si>
    <t>TDR POLICE VEHICLES &amp; FUEL</t>
  </si>
  <si>
    <t>Invoice No:</t>
  </si>
  <si>
    <t>UKFPU</t>
  </si>
  <si>
    <t>ONLY CLAIM HOURS IN EXCESS OF 8. FIRST 8 HOURS IS FUNDED BY HOME FORCE FOR UKFPU DEPLOYMENTS</t>
  </si>
  <si>
    <t>Provision of Vehicle Only</t>
  </si>
  <si>
    <t>Miles Per Litre</t>
  </si>
  <si>
    <t>Other Specialist e.g. Mobile Police Station</t>
  </si>
  <si>
    <t>Other Motorised Equipment</t>
  </si>
  <si>
    <t>#</t>
  </si>
  <si>
    <t>Electric ONLY Vehicle</t>
  </si>
  <si>
    <t>From ACPO Calcs</t>
  </si>
  <si>
    <t>For example, the “V” festivals, COP26 and Commonwealth Games. Here the event has a capacity requirement beyond a single force or where a force cannot alone police the event and provide appropriate resilience in the rest of its force area;</t>
  </si>
  <si>
    <t>GRADE 3</t>
  </si>
  <si>
    <t>INTERNATIONAL MUTUAL AID</t>
  </si>
  <si>
    <t>Charge basic salary hours worked x 1.5 for all ranks and grades except for bank holidays where PC, Sgt and Police Staff charge basic hours x 2 and all other officers x 1.5</t>
  </si>
  <si>
    <t>Notice N/A - BH starts 07:00 on day of BH ends 06:59 the next day</t>
  </si>
  <si>
    <t>For example deployment to British Virgin Islands (2017) in response to the Hurricanes, or to assist short term in a missing person or murder enquiry. It can also include short-term requests to provide training and development support.</t>
  </si>
  <si>
    <t>Range from pre-planned, short notice pre-planned to spontaneous need</t>
  </si>
  <si>
    <t>2022-23</t>
  </si>
  <si>
    <t>2021-22</t>
  </si>
  <si>
    <t>2020-21</t>
  </si>
  <si>
    <t>2023-24</t>
  </si>
  <si>
    <t>Grade 3</t>
  </si>
  <si>
    <t>2024-25</t>
  </si>
  <si>
    <t>STATES of JERSEY POLICE</t>
  </si>
  <si>
    <t>STATES OF JERSEY</t>
  </si>
  <si>
    <t>ISLE OF MAN CONSTABULARY</t>
  </si>
  <si>
    <t>GUERNSEY POLICE</t>
  </si>
  <si>
    <t>Protection allowance</t>
  </si>
  <si>
    <t>Protection Allowance Rate 1</t>
  </si>
  <si>
    <t>Protection Allowance Rate 2</t>
  </si>
  <si>
    <t>No of Nights/ Shifts</t>
  </si>
  <si>
    <t>2024/25 Mutual Aid Rates</t>
  </si>
  <si>
    <t>£20,000 - £30,000</t>
  </si>
  <si>
    <t>£30,001 - £40,000</t>
  </si>
  <si>
    <t>£40,001 - £50,000</t>
  </si>
  <si>
    <t>£50,001 - £60,000</t>
  </si>
  <si>
    <t>£60,001 - £70,000</t>
  </si>
  <si>
    <t>£70,001 - £80,000</t>
  </si>
  <si>
    <t>£80,001 - £90,000</t>
  </si>
  <si>
    <t>Over £90,000</t>
  </si>
  <si>
    <t>Basic Pay &amp; allowances (mid-point)</t>
  </si>
  <si>
    <t>Unsociable  Hours</t>
  </si>
  <si>
    <t>Superannuation</t>
  </si>
  <si>
    <t>ERNIC</t>
  </si>
  <si>
    <t>Employment Sub-Total</t>
  </si>
  <si>
    <t>National Government Levies</t>
  </si>
  <si>
    <t>Annual Employable Costs</t>
  </si>
  <si>
    <t>Total Days</t>
  </si>
  <si>
    <t>Annual Leave</t>
  </si>
  <si>
    <t>Less Weekends</t>
  </si>
  <si>
    <t>Less Public Holidays</t>
  </si>
  <si>
    <t>Less Training</t>
  </si>
  <si>
    <t>Less Sickness</t>
  </si>
  <si>
    <t>Employable Cost - Daily Rate</t>
  </si>
  <si>
    <t>Equivalent hourly rate</t>
  </si>
  <si>
    <t>Grade 0 hourly rate</t>
  </si>
  <si>
    <t>Grade 1 hourly rate</t>
  </si>
  <si>
    <t>Grade 2 hourly rate</t>
  </si>
  <si>
    <t>Grade 3 hourly rate</t>
  </si>
  <si>
    <t>£20,000-£30,000</t>
  </si>
  <si>
    <t>Staff £30,001 - £40,000</t>
  </si>
  <si>
    <t>Staff £40,001 - £50,000</t>
  </si>
  <si>
    <t>Staff £50,001 - £60,000</t>
  </si>
  <si>
    <t>Staff £60,001 - £70,000</t>
  </si>
  <si>
    <t>Staff £70,001 - £80,000</t>
  </si>
  <si>
    <t>Staff £80,001 - £90,000</t>
  </si>
  <si>
    <t>Staff Over £90,000</t>
  </si>
  <si>
    <t>Chief
Inspector</t>
  </si>
  <si>
    <t>Supt</t>
  </si>
  <si>
    <t>Chief
Supt</t>
  </si>
  <si>
    <t>Standard Deployment</t>
  </si>
  <si>
    <t>£</t>
  </si>
  <si>
    <t>Basic Pay</t>
  </si>
  <si>
    <t>Unsociable Hours</t>
  </si>
  <si>
    <t>Holiday Pay Adjustment</t>
  </si>
  <si>
    <t>National Insurance</t>
  </si>
  <si>
    <t>Annual Employable Cost</t>
  </si>
  <si>
    <t>Less Rest Days</t>
  </si>
  <si>
    <t>4.75% pay rise</t>
  </si>
  <si>
    <t xml:space="preserve">Federated and </t>
  </si>
  <si>
    <t>superintending ranks</t>
  </si>
  <si>
    <t xml:space="preserve">Pay point From 1 September </t>
  </si>
  <si>
    <t xml:space="preserve">(appointed on or after 1 April </t>
  </si>
  <si>
    <t>2013)</t>
  </si>
  <si>
    <t>1 £ 28,551</t>
  </si>
  <si>
    <t>2 £ 29,751</t>
  </si>
  <si>
    <t>3 £ 30,957</t>
  </si>
  <si>
    <t>4 £ 32,163</t>
  </si>
  <si>
    <t>5 £ 34,575</t>
  </si>
  <si>
    <t>6 £ 39,432</t>
  </si>
  <si>
    <t>7 £ 46,044</t>
  </si>
  <si>
    <t>(appointed before 1 April 2013)</t>
  </si>
  <si>
    <t xml:space="preserve">On </t>
  </si>
  <si>
    <t xml:space="preserve">commencing </t>
  </si>
  <si>
    <t>service £ 30,069</t>
  </si>
  <si>
    <t xml:space="preserve">On completion </t>
  </si>
  <si>
    <t xml:space="preserve">of initial </t>
  </si>
  <si>
    <t>training £ 33,324</t>
  </si>
  <si>
    <t>2 £ 35,133</t>
  </si>
  <si>
    <t>3 £ 37,158</t>
  </si>
  <si>
    <t>4 £ 38,265</t>
  </si>
  <si>
    <t>5 £ 39,432</t>
  </si>
  <si>
    <t>6 £ 42,720</t>
  </si>
  <si>
    <t>Sergeant 2 £ 49,077</t>
  </si>
  <si>
    <t>3 £ 50,079</t>
  </si>
  <si>
    <t>4 £ 51,498</t>
  </si>
  <si>
    <t>Inspector 0 £ 58,422</t>
  </si>
  <si>
    <t>1 £ 60,015</t>
  </si>
  <si>
    <t>2 £ 61,602</t>
  </si>
  <si>
    <t>3 £ 63,198</t>
  </si>
  <si>
    <t>Chief Inspector 1 £ 64,449</t>
  </si>
  <si>
    <t>2 £ 65,703</t>
  </si>
  <si>
    <t>3 £ 67,017</t>
  </si>
  <si>
    <t xml:space="preserve">(promoted to rank on or after 1 </t>
  </si>
  <si>
    <t>April 2014)</t>
  </si>
  <si>
    <t>2 £ 81,036</t>
  </si>
  <si>
    <t>3 £ 85,164</t>
  </si>
  <si>
    <t>4 £ 90,717</t>
  </si>
  <si>
    <t>Chief Superintendent 1 £ 95,094</t>
  </si>
  <si>
    <t>2 £ 98,238</t>
  </si>
  <si>
    <t xml:space="preserve">3 £ </t>
  </si>
  <si>
    <t>Pay point</t>
  </si>
  <si>
    <t>With effect from 01/09/2023</t>
  </si>
  <si>
    <t>With effect from 01/09/2024</t>
  </si>
  <si>
    <t>% Uplift</t>
  </si>
  <si>
    <t>2 (a)</t>
  </si>
  <si>
    <t>Constables</t>
  </si>
  <si>
    <t>SGTS</t>
  </si>
  <si>
    <t>Inspectors</t>
  </si>
  <si>
    <t>Chief Inspectors</t>
  </si>
  <si>
    <t>1 (a)</t>
  </si>
  <si>
    <t>In post 31 August 1994</t>
  </si>
  <si>
    <t>Actual Rates</t>
  </si>
  <si>
    <t>Super</t>
  </si>
  <si>
    <t>C/Super</t>
  </si>
  <si>
    <t>2025-26</t>
  </si>
  <si>
    <t>Pay</t>
  </si>
  <si>
    <t>Limit 24/25</t>
  </si>
  <si>
    <t>Limit 25/26</t>
  </si>
  <si>
    <t>NI 24/25</t>
  </si>
  <si>
    <t>NI  Jan - March</t>
  </si>
  <si>
    <t>NI 25/26</t>
  </si>
  <si>
    <t>NI  April -Dec</t>
  </si>
  <si>
    <t>Check Total</t>
  </si>
  <si>
    <t>Dog Van</t>
  </si>
  <si>
    <t>`</t>
  </si>
  <si>
    <t>NPoCC 2026
MUTUAL AID IDR
&amp; SUMMARY FORM</t>
  </si>
  <si>
    <t>2026/27 Mutual Aid Rates</t>
  </si>
  <si>
    <t>Not increasing as first capture.</t>
  </si>
  <si>
    <t>2026 Mutual Aid Rates</t>
  </si>
  <si>
    <t>Blended rate for PPM</t>
  </si>
  <si>
    <r>
      <t xml:space="preserve">If necessary
</t>
    </r>
    <r>
      <rPr>
        <b/>
        <u/>
        <sz val="10"/>
        <rFont val="Calibri"/>
        <family val="2"/>
        <scheme val="minor"/>
      </rPr>
      <t>OVERIDE</t>
    </r>
    <r>
      <rPr>
        <b/>
        <sz val="10"/>
        <rFont val="Calibri"/>
        <family val="2"/>
        <scheme val="minor"/>
      </rPr>
      <t xml:space="preserve"> with
SPS Rate</t>
    </r>
  </si>
  <si>
    <t>Staff £20,000 - £30,000</t>
  </si>
  <si>
    <t>Protection Allowance</t>
  </si>
  <si>
    <t>Overnight Allowance</t>
  </si>
  <si>
    <t>Hardship Allowance</t>
  </si>
  <si>
    <t>NPoCC 2026
MUTUAL AID
TDR 
SPECIALIST FORM</t>
  </si>
  <si>
    <t>GRADE 2Staff £20,000 - £30,000</t>
  </si>
  <si>
    <t>GRADE 0Staff £20,000 - £30,000</t>
  </si>
  <si>
    <t>GRADE 1Staff £20,000 - £30,000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</si>
</sst>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quot;£&quot;#,##0.0000"/>
    <numFmt numFmtId="166" formatCode="&quot;£&quot;#,##0.000"/>
    <numFmt numFmtId="167" formatCode="_-&quot;£&quot;* #,##0_-;\-&quot;£&quot;* #,##0_-;_-&quot;£&quot;* &quot;-&quot;??_-;_-@_-"/>
    <numFmt numFmtId="168" formatCode="_-* #,##0.0_-;\-* #,##0.0_-;_-* &quot;-&quot;??_-;_-@_-"/>
    <numFmt numFmtId="169" formatCode="_-* #,##0_-;\-* #,##0_-;_-* &quot;-&quot;??_-;_-@_-"/>
    <numFmt numFmtId="170" formatCode="&quot;£&quot;#,##0;[Red]\(&quot;£&quot;#,##0\)"/>
    <numFmt numFmtId="171" formatCode="#,##0.00_ ;\-#,##0.00\ "/>
    <numFmt numFmtId="172" formatCode="&quot;£&quot;#,##0"/>
    <numFmt numFmtId="173" formatCode="#,##0.00_ ;[Red]\-#,##0.00\ "/>
  </numFmts>
  <fonts count="75">
    <font>
      <sz val="12"/>
      <color theme="1"/>
      <name val="Arial"/>
      <family val="2"/>
    </font>
    <font>
      <sz val="11"/>
      <color theme="1"/>
      <name val="Calibri"/>
      <family val="2"/>
      <scheme val="minor"/>
    </font>
    <font>
      <sz val="11"/>
      <color theme="1"/>
      <name val="Calibri"/>
      <family val="2"/>
      <scheme val="minor"/>
    </font>
    <font>
      <b/>
      <sz val="10"/>
      <name val="Arial"/>
      <family val="2"/>
    </font>
    <font>
      <b/>
      <sz val="14"/>
      <color theme="1"/>
      <name val="Arial"/>
      <family val="2"/>
    </font>
    <font>
      <sz val="10"/>
      <name val="Arial"/>
      <family val="2"/>
    </font>
    <font>
      <sz val="11"/>
      <color theme="1"/>
      <name val="Calibri"/>
      <family val="2"/>
      <scheme val="minor"/>
    </font>
    <font>
      <b/>
      <i/>
      <sz val="12"/>
      <color theme="1"/>
      <name val="Arial"/>
      <family val="2"/>
    </font>
    <font>
      <sz val="12"/>
      <color theme="1"/>
      <name val="Arial"/>
      <family val="2"/>
    </font>
    <font>
      <b/>
      <i/>
      <sz val="7.5"/>
      <name val="Arial"/>
      <family val="2"/>
    </font>
    <font>
      <u/>
      <sz val="12"/>
      <color theme="10"/>
      <name val="Arial"/>
      <family val="2"/>
    </font>
    <font>
      <sz val="11"/>
      <name val="Calibri"/>
      <family val="2"/>
    </font>
    <font>
      <b/>
      <sz val="12"/>
      <color theme="1"/>
      <name val="Calibri"/>
      <family val="2"/>
      <scheme val="minor"/>
    </font>
    <font>
      <sz val="10"/>
      <name val="Calibri"/>
      <family val="2"/>
      <scheme val="minor"/>
    </font>
    <font>
      <b/>
      <u/>
      <sz val="10"/>
      <name val="Calibri"/>
      <family val="2"/>
      <scheme val="minor"/>
    </font>
    <font>
      <sz val="12"/>
      <color theme="1"/>
      <name val="Calibri"/>
      <family val="2"/>
      <scheme val="minor"/>
    </font>
    <font>
      <b/>
      <sz val="10"/>
      <name val="Calibri"/>
      <family val="2"/>
      <scheme val="minor"/>
    </font>
    <font>
      <sz val="10"/>
      <color theme="1"/>
      <name val="Calibri"/>
      <family val="2"/>
      <scheme val="minor"/>
    </font>
    <font>
      <b/>
      <sz val="11"/>
      <color rgb="FF000000"/>
      <name val="Aptos Narrow"/>
      <family val="2"/>
    </font>
    <font>
      <sz val="11"/>
      <color rgb="FF000000"/>
      <name val="Aptos Narrow"/>
      <family val="2"/>
    </font>
    <font>
      <b/>
      <sz val="10"/>
      <color rgb="FF000000"/>
      <name val="Open Sans"/>
    </font>
    <font>
      <sz val="10"/>
      <color rgb="FF000000"/>
      <name val="Open Sans"/>
    </font>
    <font>
      <sz val="12"/>
      <color rgb="FF004996"/>
      <name val="Open Sans"/>
    </font>
    <font>
      <b/>
      <sz val="11"/>
      <color theme="1"/>
      <name val="Calibri"/>
      <family val="2"/>
      <scheme val="minor"/>
    </font>
    <font>
      <sz val="12"/>
      <color theme="0"/>
      <name val="Calibri"/>
      <family val="2"/>
      <scheme val="minor"/>
    </font>
    <font>
      <b/>
      <i/>
      <sz val="14"/>
      <color theme="1"/>
      <name val="Calibri"/>
      <family val="2"/>
      <scheme val="minor"/>
    </font>
    <font>
      <b/>
      <sz val="36"/>
      <color theme="0"/>
      <name val="Calibri"/>
      <family val="2"/>
      <scheme val="minor"/>
    </font>
    <font>
      <b/>
      <sz val="14"/>
      <color theme="1"/>
      <name val="Calibri"/>
      <family val="2"/>
      <scheme val="minor"/>
    </font>
    <font>
      <sz val="14"/>
      <color theme="0"/>
      <name val="Calibri"/>
      <family val="2"/>
      <scheme val="minor"/>
    </font>
    <font>
      <b/>
      <sz val="14"/>
      <color theme="0"/>
      <name val="Calibri"/>
      <family val="2"/>
      <scheme val="minor"/>
    </font>
    <font>
      <sz val="14"/>
      <color theme="1"/>
      <name val="Calibri"/>
      <family val="2"/>
      <scheme val="minor"/>
    </font>
    <font>
      <sz val="16"/>
      <color theme="1"/>
      <name val="Calibri"/>
      <family val="2"/>
      <scheme val="minor"/>
    </font>
    <font>
      <b/>
      <sz val="18"/>
      <color theme="8" tint="-0.249977111117893"/>
      <name val="Calibri"/>
      <family val="2"/>
      <scheme val="minor"/>
    </font>
    <font>
      <sz val="16"/>
      <color theme="0"/>
      <name val="Calibri"/>
      <family val="2"/>
      <scheme val="minor"/>
    </font>
    <font>
      <i/>
      <sz val="11"/>
      <name val="Calibri"/>
      <family val="2"/>
      <scheme val="minor"/>
    </font>
    <font>
      <b/>
      <sz val="12"/>
      <name val="Calibri"/>
      <family val="2"/>
      <scheme val="minor"/>
    </font>
    <font>
      <i/>
      <sz val="10"/>
      <color theme="1"/>
      <name val="Calibri"/>
      <family val="2"/>
      <scheme val="minor"/>
    </font>
    <font>
      <i/>
      <sz val="11"/>
      <color theme="1"/>
      <name val="Calibri"/>
      <family val="2"/>
      <scheme val="minor"/>
    </font>
    <font>
      <u/>
      <sz val="12"/>
      <color theme="10"/>
      <name val="Calibri"/>
      <family val="2"/>
      <scheme val="minor"/>
    </font>
    <font>
      <i/>
      <sz val="10"/>
      <name val="Calibri"/>
      <family val="2"/>
      <scheme val="minor"/>
    </font>
    <font>
      <b/>
      <sz val="11"/>
      <name val="Calibri"/>
      <family val="2"/>
      <scheme val="minor"/>
    </font>
    <font>
      <b/>
      <i/>
      <sz val="10"/>
      <name val="Calibri"/>
      <family val="2"/>
      <scheme val="minor"/>
    </font>
    <font>
      <b/>
      <i/>
      <sz val="10"/>
      <color theme="0"/>
      <name val="Calibri"/>
      <family val="2"/>
      <scheme val="minor"/>
    </font>
    <font>
      <i/>
      <sz val="10"/>
      <color theme="0"/>
      <name val="Calibri"/>
      <family val="2"/>
      <scheme val="minor"/>
    </font>
    <font>
      <b/>
      <i/>
      <sz val="12"/>
      <name val="Calibri"/>
      <family val="2"/>
      <scheme val="minor"/>
    </font>
    <font>
      <sz val="12"/>
      <name val="Calibri"/>
      <family val="2"/>
      <scheme val="minor"/>
    </font>
    <font>
      <b/>
      <i/>
      <sz val="11"/>
      <name val="Calibri"/>
      <family val="2"/>
      <scheme val="minor"/>
    </font>
    <font>
      <i/>
      <sz val="12"/>
      <name val="Calibri"/>
      <family val="2"/>
      <scheme val="minor"/>
    </font>
    <font>
      <b/>
      <sz val="10"/>
      <color theme="4" tint="-0.499984740745262"/>
      <name val="Calibri"/>
      <family val="2"/>
      <scheme val="minor"/>
    </font>
    <font>
      <sz val="10"/>
      <color theme="4" tint="-0.499984740745262"/>
      <name val="Calibri"/>
      <family val="2"/>
      <scheme val="minor"/>
    </font>
    <font>
      <sz val="10"/>
      <color theme="0"/>
      <name val="Calibri"/>
      <family val="2"/>
      <scheme val="minor"/>
    </font>
    <font>
      <sz val="8"/>
      <name val="Calibri"/>
      <family val="2"/>
      <scheme val="minor"/>
    </font>
    <font>
      <sz val="9"/>
      <name val="Calibri"/>
      <family val="2"/>
      <scheme val="minor"/>
    </font>
    <font>
      <b/>
      <sz val="8"/>
      <color theme="0"/>
      <name val="Calibri"/>
      <family val="2"/>
      <scheme val="minor"/>
    </font>
    <font>
      <b/>
      <sz val="8"/>
      <name val="Calibri"/>
      <family val="2"/>
      <scheme val="minor"/>
    </font>
    <font>
      <b/>
      <sz val="10"/>
      <color theme="1"/>
      <name val="Calibri"/>
      <family val="2"/>
      <scheme val="minor"/>
    </font>
    <font>
      <b/>
      <sz val="10"/>
      <color theme="0"/>
      <name val="Calibri"/>
      <family val="2"/>
      <scheme val="minor"/>
    </font>
    <font>
      <sz val="8"/>
      <color theme="0"/>
      <name val="Calibri"/>
      <family val="2"/>
      <scheme val="minor"/>
    </font>
    <font>
      <i/>
      <sz val="9"/>
      <color theme="1"/>
      <name val="Calibri"/>
      <family val="2"/>
      <scheme val="minor"/>
    </font>
    <font>
      <b/>
      <i/>
      <sz val="10"/>
      <color theme="1"/>
      <name val="Calibri"/>
      <family val="2"/>
      <scheme val="minor"/>
    </font>
    <font>
      <b/>
      <sz val="14"/>
      <name val="Calibri"/>
      <family val="2"/>
      <scheme val="minor"/>
    </font>
    <font>
      <b/>
      <sz val="16"/>
      <name val="Calibri"/>
      <family val="2"/>
      <scheme val="minor"/>
    </font>
    <font>
      <b/>
      <i/>
      <sz val="12"/>
      <color theme="0"/>
      <name val="Calibri"/>
      <family val="2"/>
      <scheme val="minor"/>
    </font>
    <font>
      <b/>
      <i/>
      <sz val="11"/>
      <color theme="0"/>
      <name val="Calibri"/>
      <family val="2"/>
      <scheme val="minor"/>
    </font>
    <font>
      <b/>
      <i/>
      <sz val="12"/>
      <color theme="1"/>
      <name val="Calibri"/>
      <family val="2"/>
      <scheme val="minor"/>
    </font>
    <font>
      <i/>
      <sz val="12"/>
      <color theme="1"/>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b/>
      <u/>
      <sz val="10"/>
      <color theme="1"/>
      <name val="Calibri"/>
      <family val="2"/>
      <scheme val="minor"/>
    </font>
    <font>
      <sz val="10"/>
      <color rgb="FFFF0000"/>
      <name val="Calibri"/>
      <family val="2"/>
      <scheme val="minor"/>
    </font>
    <font>
      <b/>
      <sz val="9"/>
      <name val="Calibri"/>
      <family val="2"/>
      <scheme val="minor"/>
    </font>
    <font>
      <sz val="12"/>
      <color rgb="FFFF0000"/>
      <name val="Calibri"/>
      <family val="2"/>
      <scheme val="minor"/>
    </font>
    <font>
      <b/>
      <sz val="16"/>
      <color theme="0"/>
      <name val="Calibri"/>
      <family val="2"/>
      <scheme val="minor"/>
    </font>
    <font>
      <sz val="14"/>
      <color rgb="FFFF0000"/>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43"/>
        <bgColor indexed="64"/>
      </patternFill>
    </fill>
    <fill>
      <patternFill patternType="solid">
        <fgColor rgb="FFFCFFDB"/>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rgb="FFB3B3B3"/>
        <bgColor indexed="64"/>
      </patternFill>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s>
  <borders count="9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medium">
        <color indexed="64"/>
      </top>
      <bottom style="medium">
        <color indexed="64"/>
      </bottom>
      <diagonal/>
    </border>
  </borders>
  <cellStyleXfs count="8">
    <xf numFmtId="0" fontId="0" fillId="0" borderId="0"/>
    <xf numFmtId="0" fontId="6" fillId="0" borderId="0"/>
    <xf numFmtId="0" fontId="5" fillId="0" borderId="0"/>
    <xf numFmtId="43" fontId="8" fillId="0" borderId="0" applyFont="0" applyFill="0" applyBorder="0" applyAlignment="0" applyProtection="0"/>
    <xf numFmtId="0" fontId="10" fillId="0" borderId="0" applyNumberFormat="0" applyFill="0" applyBorder="0" applyAlignment="0" applyProtection="0"/>
    <xf numFmtId="0" fontId="11" fillId="0" borderId="0"/>
    <xf numFmtId="44" fontId="8" fillId="0" borderId="0" applyFont="0" applyFill="0" applyBorder="0" applyAlignment="0" applyProtection="0"/>
    <xf numFmtId="0" fontId="2" fillId="0" borderId="0"/>
  </cellStyleXfs>
  <cellXfs count="978">
    <xf numFmtId="0" fontId="0" fillId="0" borderId="0" xfId="0"/>
    <xf numFmtId="0" fontId="4" fillId="0" borderId="0" xfId="1" applyFont="1"/>
    <xf numFmtId="0" fontId="6" fillId="0" borderId="0" xfId="1" applyAlignment="1">
      <alignment vertical="center"/>
    </xf>
    <xf numFmtId="0" fontId="6" fillId="0" borderId="0" xfId="1"/>
    <xf numFmtId="0" fontId="7" fillId="0" borderId="0" xfId="1" applyFont="1"/>
    <xf numFmtId="0" fontId="5" fillId="0" borderId="0" xfId="2"/>
    <xf numFmtId="0" fontId="3" fillId="0" borderId="0" xfId="2" applyFont="1" applyAlignment="1">
      <alignment horizontal="left" vertical="top"/>
    </xf>
    <xf numFmtId="0" fontId="5" fillId="0" borderId="0" xfId="2" applyAlignment="1">
      <alignment vertical="top" wrapText="1"/>
    </xf>
    <xf numFmtId="0" fontId="3" fillId="0" borderId="0" xfId="2" applyFont="1" applyAlignment="1">
      <alignment vertical="top"/>
    </xf>
    <xf numFmtId="0" fontId="5" fillId="0" borderId="0" xfId="2" applyAlignment="1">
      <alignment vertical="top"/>
    </xf>
    <xf numFmtId="0" fontId="0" fillId="0" borderId="11" xfId="0" applyBorder="1"/>
    <xf numFmtId="0" fontId="12" fillId="0" borderId="0" xfId="1" applyFont="1" applyAlignment="1">
      <alignment horizontal="center" vertical="center"/>
    </xf>
    <xf numFmtId="0" fontId="13" fillId="0" borderId="0" xfId="2" applyFont="1"/>
    <xf numFmtId="0" fontId="13" fillId="0" borderId="0" xfId="2" applyFont="1" applyAlignment="1">
      <alignment horizontal="center"/>
    </xf>
    <xf numFmtId="0" fontId="13" fillId="0" borderId="2" xfId="0" applyFont="1" applyBorder="1" applyAlignment="1">
      <alignment vertical="center"/>
    </xf>
    <xf numFmtId="0" fontId="3" fillId="20" borderId="28" xfId="2" applyFont="1" applyFill="1" applyBorder="1" applyAlignment="1">
      <alignment horizontal="left" vertical="top" wrapText="1"/>
    </xf>
    <xf numFmtId="0" fontId="3" fillId="20" borderId="28" xfId="2" applyFont="1" applyFill="1" applyBorder="1" applyAlignment="1">
      <alignment vertical="top" wrapText="1"/>
    </xf>
    <xf numFmtId="0" fontId="3" fillId="20" borderId="28" xfId="2" applyFont="1" applyFill="1" applyBorder="1" applyAlignment="1">
      <alignment horizontal="left" vertical="top"/>
    </xf>
    <xf numFmtId="0" fontId="3" fillId="20" borderId="13" xfId="2" applyFont="1" applyFill="1" applyBorder="1" applyAlignment="1">
      <alignment horizontal="left" vertical="top"/>
    </xf>
    <xf numFmtId="0" fontId="3" fillId="20" borderId="0" xfId="2" applyFont="1" applyFill="1" applyAlignment="1">
      <alignment horizontal="left" vertical="top" wrapText="1"/>
    </xf>
    <xf numFmtId="0" fontId="3" fillId="20" borderId="0" xfId="2" applyFont="1" applyFill="1" applyAlignment="1">
      <alignment horizontal="left" vertical="top"/>
    </xf>
    <xf numFmtId="0" fontId="3" fillId="20" borderId="0" xfId="2" applyFont="1" applyFill="1" applyAlignment="1">
      <alignment vertical="top" wrapText="1"/>
    </xf>
    <xf numFmtId="0" fontId="3" fillId="20" borderId="14" xfId="2" applyFont="1" applyFill="1" applyBorder="1" applyAlignment="1">
      <alignment horizontal="left" vertical="top"/>
    </xf>
    <xf numFmtId="0" fontId="3" fillId="20" borderId="37" xfId="2" applyFont="1" applyFill="1" applyBorder="1" applyAlignment="1">
      <alignment horizontal="left" vertical="top"/>
    </xf>
    <xf numFmtId="0" fontId="3" fillId="20" borderId="38" xfId="2" applyFont="1" applyFill="1" applyBorder="1" applyAlignment="1">
      <alignment horizontal="left" vertical="top" wrapText="1"/>
    </xf>
    <xf numFmtId="0" fontId="3" fillId="20" borderId="37" xfId="2" applyFont="1" applyFill="1" applyBorder="1" applyAlignment="1">
      <alignment horizontal="left" vertical="top" wrapText="1"/>
    </xf>
    <xf numFmtId="0" fontId="3" fillId="20" borderId="38" xfId="2" applyFont="1" applyFill="1" applyBorder="1" applyAlignment="1">
      <alignment vertical="top" wrapText="1"/>
    </xf>
    <xf numFmtId="0" fontId="3" fillId="20" borderId="74" xfId="2" applyFont="1" applyFill="1" applyBorder="1" applyAlignment="1">
      <alignment horizontal="left" vertical="top" wrapText="1"/>
    </xf>
    <xf numFmtId="0" fontId="3" fillId="20" borderId="49" xfId="2" applyFont="1" applyFill="1" applyBorder="1" applyAlignment="1">
      <alignment horizontal="left" vertical="top"/>
    </xf>
    <xf numFmtId="0" fontId="3" fillId="20" borderId="49" xfId="2" applyFont="1" applyFill="1" applyBorder="1" applyAlignment="1">
      <alignment horizontal="left" vertical="top" wrapText="1"/>
    </xf>
    <xf numFmtId="0" fontId="3" fillId="20" borderId="75" xfId="2" applyFont="1" applyFill="1" applyBorder="1" applyAlignment="1">
      <alignment horizontal="left" vertical="top" wrapText="1"/>
    </xf>
    <xf numFmtId="0" fontId="3" fillId="22" borderId="68" xfId="2" applyFont="1" applyFill="1" applyBorder="1" applyAlignment="1">
      <alignment horizontal="left" vertical="top"/>
    </xf>
    <xf numFmtId="0" fontId="3" fillId="22" borderId="73" xfId="2" applyFont="1" applyFill="1" applyBorder="1" applyAlignment="1">
      <alignment vertical="top" wrapText="1"/>
    </xf>
    <xf numFmtId="0" fontId="3" fillId="22" borderId="72" xfId="2" applyFont="1" applyFill="1" applyBorder="1"/>
    <xf numFmtId="0" fontId="14" fillId="22" borderId="2" xfId="0" applyFont="1" applyFill="1" applyBorder="1" applyAlignment="1">
      <alignment horizontal="center" vertical="center" wrapText="1"/>
    </xf>
    <xf numFmtId="0" fontId="14" fillId="22" borderId="2" xfId="0" applyFont="1" applyFill="1" applyBorder="1" applyAlignment="1">
      <alignment horizontal="center" vertical="center"/>
    </xf>
    <xf numFmtId="0" fontId="16" fillId="22" borderId="2" xfId="2" applyFont="1" applyFill="1" applyBorder="1" applyAlignment="1">
      <alignment horizontal="center"/>
    </xf>
    <xf numFmtId="0" fontId="15" fillId="0" borderId="0" xfId="0" applyFont="1"/>
    <xf numFmtId="0" fontId="13" fillId="20" borderId="30" xfId="2" applyFont="1" applyFill="1" applyBorder="1"/>
    <xf numFmtId="0" fontId="13" fillId="20" borderId="31" xfId="2" applyFont="1" applyFill="1" applyBorder="1"/>
    <xf numFmtId="0" fontId="17" fillId="0" borderId="31" xfId="0" applyFont="1" applyBorder="1" applyAlignment="1">
      <alignment vertical="top" wrapText="1"/>
    </xf>
    <xf numFmtId="43" fontId="17" fillId="0" borderId="32" xfId="3" applyFont="1" applyBorder="1"/>
    <xf numFmtId="43" fontId="17" fillId="0" borderId="0" xfId="0" applyNumberFormat="1" applyFont="1"/>
    <xf numFmtId="0" fontId="17" fillId="0" borderId="0" xfId="0" applyFont="1"/>
    <xf numFmtId="0" fontId="13" fillId="20" borderId="29" xfId="2" applyFont="1" applyFill="1" applyBorder="1"/>
    <xf numFmtId="0" fontId="13" fillId="20" borderId="0" xfId="2" applyFont="1" applyFill="1"/>
    <xf numFmtId="0" fontId="17" fillId="0" borderId="0" xfId="0" applyFont="1" applyAlignment="1">
      <alignment vertical="top" wrapText="1"/>
    </xf>
    <xf numFmtId="43" fontId="17" fillId="0" borderId="36" xfId="3" applyFont="1" applyBorder="1"/>
    <xf numFmtId="0" fontId="13" fillId="20" borderId="33" xfId="2" applyFont="1" applyFill="1" applyBorder="1"/>
    <xf numFmtId="0" fontId="13" fillId="20" borderId="34" xfId="2" applyFont="1" applyFill="1" applyBorder="1"/>
    <xf numFmtId="0" fontId="17" fillId="0" borderId="34" xfId="0" applyFont="1" applyBorder="1" applyAlignment="1">
      <alignment vertical="top" wrapText="1"/>
    </xf>
    <xf numFmtId="43" fontId="17" fillId="0" borderId="35" xfId="3" applyFont="1" applyBorder="1"/>
    <xf numFmtId="43" fontId="17" fillId="0" borderId="0" xfId="3" applyFont="1"/>
    <xf numFmtId="0" fontId="2" fillId="0" borderId="0" xfId="1" applyFont="1"/>
    <xf numFmtId="0" fontId="18" fillId="0" borderId="22" xfId="7" applyFont="1" applyBorder="1" applyAlignment="1">
      <alignment vertical="center"/>
    </xf>
    <xf numFmtId="0" fontId="18" fillId="0" borderId="20" xfId="7" applyFont="1" applyBorder="1" applyAlignment="1">
      <alignment horizontal="center" vertical="center"/>
    </xf>
    <xf numFmtId="0" fontId="18" fillId="0" borderId="21" xfId="7" applyFont="1" applyBorder="1" applyAlignment="1">
      <alignment horizontal="center" vertical="center"/>
    </xf>
    <xf numFmtId="0" fontId="18" fillId="0" borderId="63" xfId="7" applyFont="1" applyBorder="1" applyAlignment="1">
      <alignment horizontal="center" vertical="center"/>
    </xf>
    <xf numFmtId="0" fontId="2" fillId="0" borderId="0" xfId="7"/>
    <xf numFmtId="0" fontId="19" fillId="0" borderId="76" xfId="7" applyFont="1" applyBorder="1" applyAlignment="1">
      <alignment vertical="center"/>
    </xf>
    <xf numFmtId="6" fontId="19" fillId="0" borderId="12" xfId="7" applyNumberFormat="1" applyFont="1" applyBorder="1" applyAlignment="1">
      <alignment horizontal="center" vertical="center"/>
    </xf>
    <xf numFmtId="0" fontId="18" fillId="0" borderId="76" xfId="7" applyFont="1" applyBorder="1" applyAlignment="1">
      <alignment vertical="center"/>
    </xf>
    <xf numFmtId="6" fontId="18" fillId="0" borderId="12" xfId="7" applyNumberFormat="1" applyFont="1" applyBorder="1" applyAlignment="1">
      <alignment horizontal="center" vertical="center"/>
    </xf>
    <xf numFmtId="0" fontId="19" fillId="0" borderId="12" xfId="7" applyFont="1" applyBorder="1" applyAlignment="1">
      <alignment horizontal="center" vertical="center"/>
    </xf>
    <xf numFmtId="0" fontId="18" fillId="0" borderId="12" xfId="7" applyFont="1" applyBorder="1" applyAlignment="1">
      <alignment horizontal="center" vertical="center"/>
    </xf>
    <xf numFmtId="8" fontId="19" fillId="0" borderId="12" xfId="7" applyNumberFormat="1" applyFont="1" applyBorder="1" applyAlignment="1">
      <alignment horizontal="center" vertical="center"/>
    </xf>
    <xf numFmtId="0" fontId="19" fillId="0" borderId="14" xfId="7" applyFont="1" applyBorder="1" applyAlignment="1">
      <alignment horizontal="center" vertical="center"/>
    </xf>
    <xf numFmtId="0" fontId="19" fillId="23" borderId="46" xfId="7" applyFont="1" applyFill="1" applyBorder="1" applyAlignment="1">
      <alignment vertical="center"/>
    </xf>
    <xf numFmtId="8" fontId="19" fillId="23" borderId="21" xfId="7" applyNumberFormat="1" applyFont="1" applyFill="1" applyBorder="1" applyAlignment="1">
      <alignment horizontal="center" vertical="center"/>
    </xf>
    <xf numFmtId="0" fontId="19" fillId="23" borderId="76" xfId="7" applyFont="1" applyFill="1" applyBorder="1" applyAlignment="1">
      <alignment vertical="center"/>
    </xf>
    <xf numFmtId="8" fontId="19" fillId="23" borderId="12" xfId="7" applyNumberFormat="1" applyFont="1" applyFill="1" applyBorder="1" applyAlignment="1">
      <alignment horizontal="center" vertical="center"/>
    </xf>
    <xf numFmtId="0" fontId="19" fillId="23" borderId="47" xfId="7" applyFont="1" applyFill="1" applyBorder="1" applyAlignment="1">
      <alignment vertical="center"/>
    </xf>
    <xf numFmtId="6" fontId="15" fillId="0" borderId="0" xfId="0" applyNumberFormat="1" applyFont="1" applyAlignment="1">
      <alignment horizontal="right" vertical="center"/>
    </xf>
    <xf numFmtId="6" fontId="12" fillId="0" borderId="0" xfId="0" applyNumberFormat="1" applyFont="1" applyAlignment="1">
      <alignment horizontal="right" vertical="center"/>
    </xf>
    <xf numFmtId="6" fontId="0" fillId="0" borderId="0" xfId="0" applyNumberFormat="1"/>
    <xf numFmtId="3" fontId="0" fillId="0" borderId="0" xfId="0" applyNumberFormat="1"/>
    <xf numFmtId="0" fontId="0" fillId="25" borderId="0" xfId="0" applyFill="1"/>
    <xf numFmtId="0" fontId="0" fillId="13" borderId="0" xfId="0" applyFill="1"/>
    <xf numFmtId="6" fontId="21" fillId="26" borderId="85" xfId="0" applyNumberFormat="1" applyFont="1" applyFill="1" applyBorder="1" applyAlignment="1">
      <alignment vertical="center" wrapText="1"/>
    </xf>
    <xf numFmtId="0" fontId="20" fillId="26" borderId="86" xfId="0" applyFont="1" applyFill="1" applyBorder="1" applyAlignment="1">
      <alignment horizontal="center" vertical="center" wrapText="1"/>
    </xf>
    <xf numFmtId="0" fontId="20" fillId="26" borderId="87" xfId="0" applyFont="1" applyFill="1" applyBorder="1" applyAlignment="1">
      <alignment horizontal="center" vertical="center" wrapText="1"/>
    </xf>
    <xf numFmtId="0" fontId="20" fillId="26" borderId="88" xfId="0" applyFont="1" applyFill="1" applyBorder="1" applyAlignment="1">
      <alignment horizontal="center" vertical="center" wrapText="1"/>
    </xf>
    <xf numFmtId="0" fontId="21" fillId="26" borderId="89" xfId="0" applyFont="1" applyFill="1" applyBorder="1" applyAlignment="1">
      <alignment vertical="center" wrapText="1"/>
    </xf>
    <xf numFmtId="10" fontId="21" fillId="26" borderId="90" xfId="0" applyNumberFormat="1" applyFont="1" applyFill="1" applyBorder="1" applyAlignment="1">
      <alignment vertical="center" wrapText="1"/>
    </xf>
    <xf numFmtId="0" fontId="21" fillId="26" borderId="91" xfId="0" applyFont="1" applyFill="1" applyBorder="1" applyAlignment="1">
      <alignment vertical="center" wrapText="1"/>
    </xf>
    <xf numFmtId="6" fontId="21" fillId="26" borderId="92" xfId="0" applyNumberFormat="1" applyFont="1" applyFill="1" applyBorder="1" applyAlignment="1">
      <alignment vertical="center" wrapText="1"/>
    </xf>
    <xf numFmtId="10" fontId="21" fillId="26" borderId="93" xfId="0" applyNumberFormat="1" applyFont="1" applyFill="1" applyBorder="1" applyAlignment="1">
      <alignment vertical="center" wrapText="1"/>
    </xf>
    <xf numFmtId="0" fontId="22" fillId="0" borderId="0" xfId="0" applyFont="1" applyAlignment="1">
      <alignment vertical="center"/>
    </xf>
    <xf numFmtId="6" fontId="21" fillId="25" borderId="85" xfId="0" applyNumberFormat="1" applyFont="1" applyFill="1" applyBorder="1" applyAlignment="1">
      <alignment vertical="center" wrapText="1"/>
    </xf>
    <xf numFmtId="6" fontId="6" fillId="0" borderId="0" xfId="1" applyNumberFormat="1"/>
    <xf numFmtId="8" fontId="6" fillId="0" borderId="0" xfId="1" applyNumberFormat="1"/>
    <xf numFmtId="16" fontId="6" fillId="0" borderId="0" xfId="1" applyNumberFormat="1"/>
    <xf numFmtId="0" fontId="23" fillId="27" borderId="0" xfId="1" applyFont="1" applyFill="1"/>
    <xf numFmtId="8" fontId="23" fillId="27" borderId="0" xfId="1" applyNumberFormat="1" applyFont="1" applyFill="1"/>
    <xf numFmtId="0" fontId="15" fillId="0" borderId="0" xfId="0" applyFont="1" applyBorder="1" applyProtection="1">
      <protection hidden="1"/>
    </xf>
    <xf numFmtId="0" fontId="15" fillId="0" borderId="11" xfId="0" applyFont="1" applyBorder="1"/>
    <xf numFmtId="0" fontId="24" fillId="0" borderId="0" xfId="0" applyFont="1" applyBorder="1" applyProtection="1">
      <protection hidden="1"/>
    </xf>
    <xf numFmtId="0" fontId="24" fillId="0" borderId="0" xfId="0" applyFont="1" applyProtection="1">
      <protection hidden="1"/>
    </xf>
    <xf numFmtId="0" fontId="15" fillId="0" borderId="0" xfId="0" applyFont="1" applyProtection="1">
      <protection hidden="1"/>
    </xf>
    <xf numFmtId="0" fontId="15" fillId="0" borderId="13" xfId="0" applyFont="1" applyBorder="1"/>
    <xf numFmtId="0" fontId="25" fillId="0" borderId="13" xfId="1" applyFont="1" applyBorder="1" applyAlignment="1" applyProtection="1">
      <alignment horizontal="center" vertical="center" wrapText="1"/>
      <protection hidden="1"/>
    </xf>
    <xf numFmtId="0" fontId="25" fillId="0" borderId="0" xfId="1" applyFont="1" applyAlignment="1" applyProtection="1">
      <alignment horizontal="center" vertical="center" wrapText="1"/>
      <protection hidden="1"/>
    </xf>
    <xf numFmtId="0" fontId="15" fillId="0" borderId="0" xfId="0" applyFont="1"/>
    <xf numFmtId="0" fontId="25" fillId="0" borderId="14" xfId="1" applyFont="1" applyBorder="1" applyAlignment="1" applyProtection="1">
      <alignment horizontal="center" vertical="center" wrapText="1"/>
      <protection hidden="1"/>
    </xf>
    <xf numFmtId="0" fontId="15" fillId="0" borderId="13" xfId="0" applyFont="1" applyBorder="1" applyAlignment="1" applyProtection="1">
      <alignment horizontal="center"/>
      <protection hidden="1"/>
    </xf>
    <xf numFmtId="0" fontId="15" fillId="0" borderId="0" xfId="0" applyFont="1" applyAlignment="1" applyProtection="1">
      <alignment horizontal="center"/>
      <protection hidden="1"/>
    </xf>
    <xf numFmtId="0" fontId="15" fillId="0" borderId="11" xfId="0" applyFont="1" applyBorder="1"/>
    <xf numFmtId="0" fontId="27" fillId="0" borderId="0" xfId="0" applyFont="1" applyAlignment="1" applyProtection="1">
      <alignment horizontal="center"/>
      <protection hidden="1"/>
    </xf>
    <xf numFmtId="0" fontId="27" fillId="0" borderId="14" xfId="0" applyFont="1" applyBorder="1" applyAlignment="1" applyProtection="1">
      <alignment horizontal="center"/>
      <protection hidden="1"/>
    </xf>
    <xf numFmtId="0" fontId="27" fillId="0" borderId="13" xfId="1" applyFont="1" applyBorder="1" applyAlignment="1" applyProtection="1">
      <alignment vertical="center" wrapText="1"/>
      <protection hidden="1"/>
    </xf>
    <xf numFmtId="0" fontId="27" fillId="0" borderId="0" xfId="1" applyFont="1" applyAlignment="1" applyProtection="1">
      <alignment vertical="center" wrapText="1"/>
      <protection hidden="1"/>
    </xf>
    <xf numFmtId="0" fontId="15" fillId="0" borderId="14" xfId="0" applyFont="1" applyBorder="1" applyProtection="1">
      <protection hidden="1"/>
    </xf>
    <xf numFmtId="0" fontId="28" fillId="0" borderId="0" xfId="0" applyFont="1" applyProtection="1">
      <protection hidden="1"/>
    </xf>
    <xf numFmtId="0" fontId="29" fillId="11" borderId="19" xfId="0" applyFont="1" applyFill="1" applyBorder="1" applyProtection="1">
      <protection hidden="1"/>
    </xf>
    <xf numFmtId="0" fontId="29" fillId="11" borderId="20" xfId="0" applyFont="1" applyFill="1" applyBorder="1" applyProtection="1">
      <protection hidden="1"/>
    </xf>
    <xf numFmtId="0" fontId="30" fillId="13" borderId="0" xfId="0" applyFont="1" applyFill="1" applyProtection="1">
      <protection hidden="1"/>
    </xf>
    <xf numFmtId="0" fontId="27" fillId="13" borderId="13" xfId="0" applyFont="1" applyFill="1" applyBorder="1" applyProtection="1">
      <protection hidden="1"/>
    </xf>
    <xf numFmtId="0" fontId="27" fillId="13" borderId="0" xfId="0" applyFont="1" applyFill="1" applyProtection="1">
      <protection hidden="1"/>
    </xf>
    <xf numFmtId="0" fontId="28" fillId="13" borderId="0" xfId="0" applyFont="1" applyFill="1" applyProtection="1">
      <protection hidden="1"/>
    </xf>
    <xf numFmtId="0" fontId="15" fillId="0" borderId="13" xfId="0" applyFont="1" applyBorder="1" applyProtection="1">
      <protection hidden="1"/>
    </xf>
    <xf numFmtId="0" fontId="31" fillId="0" borderId="0" xfId="0" applyFont="1" applyProtection="1">
      <protection hidden="1"/>
    </xf>
    <xf numFmtId="0" fontId="33" fillId="0" borderId="0" xfId="0" applyFont="1" applyProtection="1">
      <protection hidden="1"/>
    </xf>
    <xf numFmtId="0" fontId="31" fillId="13" borderId="0" xfId="0" applyFont="1" applyFill="1" applyProtection="1">
      <protection hidden="1"/>
    </xf>
    <xf numFmtId="0" fontId="32" fillId="13" borderId="13" xfId="1" applyFont="1" applyFill="1" applyBorder="1" applyAlignment="1" applyProtection="1">
      <alignment horizontal="center" vertical="center" wrapText="1"/>
      <protection hidden="1"/>
    </xf>
    <xf numFmtId="0" fontId="32" fillId="13" borderId="0" xfId="1" applyFont="1" applyFill="1" applyAlignment="1" applyProtection="1">
      <alignment horizontal="center" vertical="center" wrapText="1"/>
      <protection hidden="1"/>
    </xf>
    <xf numFmtId="0" fontId="33" fillId="13" borderId="0" xfId="0" applyFont="1" applyFill="1" applyProtection="1">
      <protection hidden="1"/>
    </xf>
    <xf numFmtId="0" fontId="34" fillId="0" borderId="13" xfId="0" applyFont="1" applyBorder="1" applyProtection="1">
      <protection hidden="1"/>
    </xf>
    <xf numFmtId="0" fontId="34" fillId="0" borderId="0" xfId="0" applyFont="1" applyAlignment="1" applyProtection="1">
      <alignment horizontal="right"/>
      <protection hidden="1"/>
    </xf>
    <xf numFmtId="0" fontId="13" fillId="0" borderId="0" xfId="0" applyFont="1" applyAlignment="1" applyProtection="1">
      <alignment horizontal="right"/>
      <protection hidden="1"/>
    </xf>
    <xf numFmtId="14" fontId="35" fillId="4" borderId="2" xfId="0" applyNumberFormat="1" applyFont="1" applyFill="1" applyBorder="1" applyAlignment="1" applyProtection="1">
      <alignment horizontal="left" vertical="center"/>
      <protection locked="0"/>
    </xf>
    <xf numFmtId="0" fontId="34" fillId="0" borderId="0" xfId="0" applyFont="1" applyProtection="1">
      <protection hidden="1"/>
    </xf>
    <xf numFmtId="0" fontId="30" fillId="0" borderId="0" xfId="0" applyFont="1" applyProtection="1">
      <protection hidden="1"/>
    </xf>
    <xf numFmtId="0" fontId="27" fillId="0" borderId="13" xfId="0" applyFont="1" applyBorder="1" applyProtection="1">
      <protection hidden="1"/>
    </xf>
    <xf numFmtId="0" fontId="30" fillId="0" borderId="0" xfId="0" applyFont="1" applyAlignment="1" applyProtection="1">
      <alignment horizontal="left" vertical="top" wrapText="1"/>
      <protection hidden="1"/>
    </xf>
    <xf numFmtId="0" fontId="27" fillId="0" borderId="0" xfId="0" applyFont="1" applyAlignment="1" applyProtection="1">
      <alignment horizontal="right"/>
      <protection hidden="1"/>
    </xf>
    <xf numFmtId="0" fontId="37" fillId="0" borderId="13" xfId="0" applyFont="1" applyBorder="1" applyProtection="1">
      <protection hidden="1"/>
    </xf>
    <xf numFmtId="0" fontId="37" fillId="0" borderId="0" xfId="0" applyFont="1" applyProtection="1">
      <protection hidden="1"/>
    </xf>
    <xf numFmtId="0" fontId="15" fillId="0" borderId="0" xfId="0" applyFont="1" applyAlignment="1" applyProtection="1">
      <alignment horizontal="left"/>
      <protection hidden="1"/>
    </xf>
    <xf numFmtId="0" fontId="37" fillId="0" borderId="10" xfId="0" applyFont="1" applyBorder="1" applyProtection="1">
      <protection hidden="1"/>
    </xf>
    <xf numFmtId="0" fontId="15" fillId="0" borderId="11" xfId="0" applyFont="1" applyBorder="1" applyProtection="1">
      <protection hidden="1"/>
    </xf>
    <xf numFmtId="0" fontId="15" fillId="0" borderId="12" xfId="0" applyFont="1" applyBorder="1" applyProtection="1">
      <protection hidden="1"/>
    </xf>
    <xf numFmtId="0" fontId="29" fillId="0" borderId="0" xfId="0" applyFont="1" applyProtection="1">
      <protection hidden="1"/>
    </xf>
    <xf numFmtId="0" fontId="28" fillId="11" borderId="8" xfId="0" applyFont="1" applyFill="1" applyBorder="1" applyProtection="1">
      <protection hidden="1"/>
    </xf>
    <xf numFmtId="0" fontId="29" fillId="11" borderId="8" xfId="0" applyFont="1" applyFill="1" applyBorder="1" applyProtection="1">
      <protection hidden="1"/>
    </xf>
    <xf numFmtId="0" fontId="29" fillId="11" borderId="9" xfId="0" applyFont="1" applyFill="1" applyBorder="1" applyProtection="1">
      <protection hidden="1"/>
    </xf>
    <xf numFmtId="0" fontId="13" fillId="0" borderId="13" xfId="0" applyFont="1" applyBorder="1" applyProtection="1">
      <protection hidden="1"/>
    </xf>
    <xf numFmtId="0" fontId="35" fillId="0" borderId="0" xfId="0" applyFont="1" applyAlignment="1" applyProtection="1">
      <alignment horizontal="left" vertical="top" wrapText="1"/>
      <protection hidden="1"/>
    </xf>
    <xf numFmtId="0" fontId="13" fillId="0" borderId="0" xfId="0" applyFont="1" applyProtection="1">
      <protection hidden="1"/>
    </xf>
    <xf numFmtId="0" fontId="39" fillId="0" borderId="13" xfId="0" applyFont="1" applyBorder="1" applyAlignment="1" applyProtection="1">
      <alignment horizontal="left" vertical="top"/>
      <protection hidden="1"/>
    </xf>
    <xf numFmtId="0" fontId="39" fillId="0" borderId="0" xfId="0" applyFont="1" applyAlignment="1" applyProtection="1">
      <alignment horizontal="left" wrapText="1"/>
      <protection hidden="1"/>
    </xf>
    <xf numFmtId="0" fontId="39" fillId="0" borderId="0" xfId="0" applyFont="1" applyAlignment="1" applyProtection="1">
      <alignment horizontal="left" vertical="top" wrapText="1"/>
      <protection hidden="1"/>
    </xf>
    <xf numFmtId="0" fontId="12" fillId="0" borderId="0" xfId="0" applyFont="1" applyProtection="1">
      <protection hidden="1"/>
    </xf>
    <xf numFmtId="0" fontId="41" fillId="0" borderId="18" xfId="0" applyFont="1" applyBorder="1" applyAlignment="1" applyProtection="1">
      <alignment vertical="top" wrapText="1"/>
      <protection hidden="1"/>
    </xf>
    <xf numFmtId="0" fontId="42" fillId="0" borderId="0" xfId="0" applyFont="1" applyAlignment="1" applyProtection="1">
      <alignment vertical="top" wrapText="1"/>
      <protection hidden="1"/>
    </xf>
    <xf numFmtId="0" fontId="43" fillId="0" borderId="0" xfId="0" applyFont="1" applyAlignment="1" applyProtection="1">
      <alignment vertical="top" wrapText="1"/>
      <protection hidden="1"/>
    </xf>
    <xf numFmtId="0" fontId="44" fillId="0" borderId="13" xfId="0" applyFont="1" applyBorder="1" applyAlignment="1" applyProtection="1">
      <alignment horizontal="left" vertical="center" wrapText="1"/>
      <protection hidden="1"/>
    </xf>
    <xf numFmtId="0" fontId="44" fillId="0" borderId="0" xfId="0" applyFont="1" applyAlignment="1" applyProtection="1">
      <alignment horizontal="left" vertical="center" wrapText="1"/>
      <protection hidden="1"/>
    </xf>
    <xf numFmtId="0" fontId="39" fillId="0" borderId="0" xfId="0" applyFont="1" applyAlignment="1" applyProtection="1">
      <alignment vertical="top" wrapText="1"/>
      <protection hidden="1"/>
    </xf>
    <xf numFmtId="0" fontId="39" fillId="0" borderId="31" xfId="0" applyFont="1" applyBorder="1" applyAlignment="1" applyProtection="1">
      <alignment vertical="top" wrapText="1"/>
      <protection hidden="1"/>
    </xf>
    <xf numFmtId="0" fontId="39" fillId="0" borderId="14" xfId="0" applyFont="1" applyBorder="1" applyAlignment="1" applyProtection="1">
      <alignment vertical="top" wrapText="1"/>
      <protection hidden="1"/>
    </xf>
    <xf numFmtId="0" fontId="35" fillId="0" borderId="13" xfId="0" applyFont="1" applyBorder="1" applyProtection="1">
      <protection hidden="1"/>
    </xf>
    <xf numFmtId="0" fontId="45" fillId="0" borderId="0" xfId="0" applyFont="1" applyProtection="1">
      <protection hidden="1"/>
    </xf>
    <xf numFmtId="0" fontId="13" fillId="0" borderId="36" xfId="0" applyFont="1" applyBorder="1" applyProtection="1">
      <protection hidden="1"/>
    </xf>
    <xf numFmtId="0" fontId="46" fillId="0" borderId="0" xfId="0" applyFont="1" applyProtection="1">
      <protection hidden="1"/>
    </xf>
    <xf numFmtId="0" fontId="39" fillId="0" borderId="10" xfId="0" applyFont="1" applyBorder="1" applyAlignment="1" applyProtection="1">
      <alignment horizontal="left" vertical="top" wrapText="1"/>
      <protection hidden="1"/>
    </xf>
    <xf numFmtId="0" fontId="39" fillId="0" borderId="11" xfId="0" applyFont="1" applyBorder="1" applyAlignment="1" applyProtection="1">
      <alignment horizontal="left" vertical="top" wrapText="1"/>
      <protection hidden="1"/>
    </xf>
    <xf numFmtId="0" fontId="46" fillId="0" borderId="11" xfId="0" applyFont="1" applyBorder="1" applyProtection="1">
      <protection hidden="1"/>
    </xf>
    <xf numFmtId="0" fontId="39" fillId="0" borderId="12" xfId="0" applyFont="1" applyBorder="1" applyAlignment="1" applyProtection="1">
      <alignment horizontal="left" vertical="top" wrapText="1"/>
      <protection hidden="1"/>
    </xf>
    <xf numFmtId="0" fontId="39" fillId="0" borderId="8" xfId="0" applyFont="1" applyBorder="1" applyAlignment="1" applyProtection="1">
      <alignment horizontal="left" vertical="top" wrapText="1"/>
      <protection hidden="1"/>
    </xf>
    <xf numFmtId="0" fontId="28" fillId="11" borderId="8" xfId="0" applyFont="1" applyFill="1" applyBorder="1" applyAlignment="1" applyProtection="1">
      <alignment horizontal="left" vertical="top" wrapText="1"/>
      <protection hidden="1"/>
    </xf>
    <xf numFmtId="0" fontId="28" fillId="11" borderId="9" xfId="0" applyFont="1" applyFill="1" applyBorder="1" applyAlignment="1" applyProtection="1">
      <alignment horizontal="left" vertical="top" wrapText="1"/>
      <protection hidden="1"/>
    </xf>
    <xf numFmtId="0" fontId="13" fillId="0" borderId="13" xfId="0" applyFont="1" applyBorder="1"/>
    <xf numFmtId="0" fontId="39" fillId="0" borderId="0" xfId="0" applyFont="1"/>
    <xf numFmtId="0" fontId="13" fillId="0" borderId="0" xfId="0" applyFont="1"/>
    <xf numFmtId="0" fontId="35" fillId="0" borderId="0" xfId="0" applyFont="1" applyAlignment="1" applyProtection="1">
      <alignment horizontal="left" vertical="center" wrapText="1"/>
      <protection hidden="1"/>
    </xf>
    <xf numFmtId="0" fontId="39" fillId="0" borderId="31" xfId="0" applyFont="1" applyBorder="1" applyAlignment="1" applyProtection="1">
      <alignment horizontal="left" wrapText="1"/>
      <protection hidden="1"/>
    </xf>
    <xf numFmtId="0" fontId="47" fillId="0" borderId="31" xfId="0" applyFont="1" applyBorder="1" applyAlignment="1" applyProtection="1">
      <alignment horizontal="left" wrapText="1"/>
      <protection hidden="1"/>
    </xf>
    <xf numFmtId="0" fontId="46" fillId="0" borderId="31" xfId="0" applyFont="1" applyBorder="1" applyAlignment="1" applyProtection="1">
      <alignment vertical="top" wrapText="1"/>
      <protection hidden="1"/>
    </xf>
    <xf numFmtId="0" fontId="46" fillId="0" borderId="40" xfId="0" applyFont="1" applyBorder="1" applyAlignment="1" applyProtection="1">
      <alignment vertical="top" wrapText="1"/>
      <protection hidden="1"/>
    </xf>
    <xf numFmtId="0" fontId="40" fillId="0" borderId="13"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13" fillId="0" borderId="10" xfId="0" applyFont="1" applyBorder="1" applyProtection="1">
      <protection hidden="1"/>
    </xf>
    <xf numFmtId="0" fontId="17" fillId="0" borderId="0" xfId="0" applyFont="1" applyProtection="1">
      <protection hidden="1"/>
    </xf>
    <xf numFmtId="2" fontId="16" fillId="2" borderId="43" xfId="0" applyNumberFormat="1" applyFont="1" applyFill="1" applyBorder="1" applyAlignment="1" applyProtection="1">
      <alignment horizontal="center" vertical="center" wrapText="1"/>
      <protection hidden="1"/>
    </xf>
    <xf numFmtId="2" fontId="16" fillId="2" borderId="22" xfId="0" applyNumberFormat="1" applyFont="1" applyFill="1" applyBorder="1" applyAlignment="1" applyProtection="1">
      <alignment horizontal="center" vertical="center" wrapText="1"/>
      <protection hidden="1"/>
    </xf>
    <xf numFmtId="164" fontId="16" fillId="2" borderId="44" xfId="0" applyNumberFormat="1" applyFont="1" applyFill="1" applyBorder="1" applyAlignment="1" applyProtection="1">
      <alignment horizontal="center" vertical="center" wrapText="1"/>
      <protection hidden="1"/>
    </xf>
    <xf numFmtId="164" fontId="16" fillId="2" borderId="45" xfId="0" applyNumberFormat="1" applyFont="1" applyFill="1" applyBorder="1" applyAlignment="1" applyProtection="1">
      <alignment horizontal="center" vertical="center" wrapText="1"/>
      <protection hidden="1"/>
    </xf>
    <xf numFmtId="0" fontId="50" fillId="0" borderId="0" xfId="0" applyFont="1" applyProtection="1">
      <protection hidden="1"/>
    </xf>
    <xf numFmtId="14" fontId="51" fillId="0" borderId="1" xfId="0" applyNumberFormat="1"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6" borderId="2" xfId="0" applyFont="1" applyFill="1" applyBorder="1" applyProtection="1">
      <protection locked="0"/>
    </xf>
    <xf numFmtId="0" fontId="13" fillId="4" borderId="59" xfId="0" applyFont="1" applyFill="1" applyBorder="1" applyAlignment="1" applyProtection="1">
      <alignment horizontal="left" vertical="center"/>
      <protection locked="0"/>
    </xf>
    <xf numFmtId="0" fontId="52" fillId="4" borderId="15" xfId="0" applyFont="1" applyFill="1" applyBorder="1" applyProtection="1">
      <protection locked="0"/>
    </xf>
    <xf numFmtId="0" fontId="13" fillId="4" borderId="2" xfId="0" applyFont="1" applyFill="1" applyBorder="1" applyAlignment="1" applyProtection="1">
      <alignment horizontal="center" vertical="center"/>
      <protection locked="0"/>
    </xf>
    <xf numFmtId="2" fontId="13" fillId="4" borderId="2" xfId="0" applyNumberFormat="1"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53" fillId="0" borderId="0" xfId="0" applyFont="1" applyAlignment="1">
      <alignment horizontal="center" vertical="center" wrapText="1"/>
    </xf>
    <xf numFmtId="44" fontId="13" fillId="3" borderId="1" xfId="0" applyNumberFormat="1" applyFont="1" applyFill="1" applyBorder="1" applyAlignment="1" applyProtection="1">
      <alignment horizontal="left" vertical="center"/>
      <protection hidden="1"/>
    </xf>
    <xf numFmtId="171" fontId="13" fillId="18" borderId="15" xfId="3" applyNumberFormat="1" applyFont="1" applyFill="1" applyBorder="1" applyAlignment="1" applyProtection="1">
      <alignment horizontal="center" vertical="center"/>
      <protection locked="0" hidden="1"/>
    </xf>
    <xf numFmtId="171" fontId="13" fillId="3" borderId="15" xfId="3" applyNumberFormat="1" applyFont="1" applyFill="1" applyBorder="1" applyAlignment="1" applyProtection="1">
      <alignment horizontal="center" vertical="center"/>
      <protection hidden="1"/>
    </xf>
    <xf numFmtId="44" fontId="35" fillId="3" borderId="17" xfId="0" applyNumberFormat="1" applyFont="1" applyFill="1" applyBorder="1" applyAlignment="1" applyProtection="1">
      <alignment horizontal="left" vertical="center"/>
      <protection hidden="1"/>
    </xf>
    <xf numFmtId="0" fontId="13" fillId="4" borderId="33" xfId="0" applyFont="1" applyFill="1" applyBorder="1" applyAlignment="1" applyProtection="1">
      <alignment horizontal="left" vertical="center"/>
      <protection locked="0"/>
    </xf>
    <xf numFmtId="0" fontId="52" fillId="4" borderId="2" xfId="0" applyFont="1" applyFill="1" applyBorder="1" applyProtection="1">
      <protection locked="0"/>
    </xf>
    <xf numFmtId="0" fontId="51" fillId="0" borderId="0" xfId="0" applyFont="1" applyAlignment="1">
      <alignment vertical="center"/>
    </xf>
    <xf numFmtId="0" fontId="13" fillId="4" borderId="26" xfId="0" applyFont="1" applyFill="1" applyBorder="1" applyAlignment="1" applyProtection="1">
      <alignment horizontal="left" vertical="center"/>
      <protection locked="0"/>
    </xf>
    <xf numFmtId="14" fontId="51" fillId="0" borderId="4" xfId="0" applyNumberFormat="1" applyFont="1" applyBorder="1" applyAlignment="1" applyProtection="1">
      <alignment horizontal="left" vertical="center"/>
      <protection locked="0"/>
    </xf>
    <xf numFmtId="0" fontId="51" fillId="0" borderId="5" xfId="0" applyFont="1" applyBorder="1" applyAlignment="1" applyProtection="1">
      <alignment horizontal="left" vertical="center"/>
      <protection locked="0"/>
    </xf>
    <xf numFmtId="0" fontId="51" fillId="6" borderId="5" xfId="0" applyFont="1" applyFill="1" applyBorder="1" applyProtection="1">
      <protection locked="0"/>
    </xf>
    <xf numFmtId="0" fontId="13" fillId="4" borderId="48" xfId="0" applyFont="1" applyFill="1" applyBorder="1" applyAlignment="1" applyProtection="1">
      <alignment horizontal="left" vertical="center"/>
      <protection locked="0"/>
    </xf>
    <xf numFmtId="0" fontId="52" fillId="4" borderId="5" xfId="0" applyFont="1" applyFill="1" applyBorder="1" applyProtection="1">
      <protection locked="0"/>
    </xf>
    <xf numFmtId="0" fontId="13" fillId="4" borderId="5" xfId="0" applyFont="1" applyFill="1" applyBorder="1" applyAlignment="1" applyProtection="1">
      <alignment horizontal="center" vertical="center"/>
      <protection locked="0"/>
    </xf>
    <xf numFmtId="2" fontId="13" fillId="4" borderId="5" xfId="0" applyNumberFormat="1"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51" fillId="0" borderId="0" xfId="0" applyFont="1" applyAlignment="1">
      <alignment horizontal="center" vertical="center"/>
    </xf>
    <xf numFmtId="44" fontId="13" fillId="3" borderId="4" xfId="0" applyNumberFormat="1" applyFont="1" applyFill="1" applyBorder="1" applyAlignment="1" applyProtection="1">
      <alignment horizontal="left" vertical="center"/>
      <protection hidden="1"/>
    </xf>
    <xf numFmtId="44" fontId="35" fillId="3" borderId="65" xfId="0" applyNumberFormat="1" applyFont="1" applyFill="1" applyBorder="1" applyAlignment="1" applyProtection="1">
      <alignment horizontal="left" vertical="center"/>
      <protection hidden="1"/>
    </xf>
    <xf numFmtId="5" fontId="51" fillId="0" borderId="0" xfId="0" applyNumberFormat="1" applyFont="1" applyAlignment="1" applyProtection="1">
      <alignment horizontal="left" vertical="center"/>
      <protection hidden="1"/>
    </xf>
    <xf numFmtId="44" fontId="16" fillId="2" borderId="45" xfId="0" applyNumberFormat="1" applyFont="1" applyFill="1" applyBorder="1" applyAlignment="1" applyProtection="1">
      <alignment horizontal="left" vertical="center"/>
      <protection hidden="1"/>
    </xf>
    <xf numFmtId="0" fontId="51" fillId="0" borderId="0" xfId="0" applyFont="1"/>
    <xf numFmtId="164" fontId="51" fillId="0" borderId="0" xfId="0" applyNumberFormat="1" applyFont="1"/>
    <xf numFmtId="167" fontId="51" fillId="0" borderId="0" xfId="0" applyNumberFormat="1" applyFont="1" applyAlignment="1">
      <alignment vertical="center"/>
    </xf>
    <xf numFmtId="167" fontId="54" fillId="0" borderId="0" xfId="0" applyNumberFormat="1" applyFont="1" applyAlignment="1">
      <alignment horizontal="right" vertical="center" wrapText="1"/>
    </xf>
    <xf numFmtId="167" fontId="16" fillId="0" borderId="0" xfId="0" applyNumberFormat="1" applyFont="1" applyAlignment="1">
      <alignment horizontal="right" wrapText="1"/>
    </xf>
    <xf numFmtId="167" fontId="40" fillId="0" borderId="11" xfId="0" applyNumberFormat="1" applyFont="1" applyBorder="1"/>
    <xf numFmtId="0" fontId="28" fillId="0" borderId="0" xfId="0" applyFont="1" applyAlignment="1">
      <alignment horizontal="center" vertical="center"/>
    </xf>
    <xf numFmtId="0" fontId="17" fillId="0" borderId="0" xfId="0" applyFont="1" applyAlignment="1" applyProtection="1">
      <alignment horizontal="center"/>
      <protection hidden="1"/>
    </xf>
    <xf numFmtId="0" fontId="55" fillId="2" borderId="22" xfId="0" applyFont="1" applyFill="1" applyBorder="1" applyAlignment="1">
      <alignment horizontal="center" vertical="center"/>
    </xf>
    <xf numFmtId="0" fontId="55" fillId="2" borderId="22" xfId="0" applyFont="1" applyFill="1" applyBorder="1" applyAlignment="1">
      <alignment horizontal="center" vertical="center" wrapText="1"/>
    </xf>
    <xf numFmtId="0" fontId="13" fillId="0" borderId="0" xfId="0" applyFont="1" applyAlignment="1">
      <alignment horizontal="center" vertical="center"/>
    </xf>
    <xf numFmtId="167" fontId="16" fillId="2" borderId="47" xfId="0" applyNumberFormat="1" applyFont="1" applyFill="1" applyBorder="1" applyAlignment="1" applyProtection="1">
      <alignment horizontal="center" vertical="center" wrapText="1"/>
      <protection hidden="1"/>
    </xf>
    <xf numFmtId="167" fontId="16" fillId="2" borderId="10" xfId="0" applyNumberFormat="1" applyFont="1" applyFill="1" applyBorder="1" applyAlignment="1" applyProtection="1">
      <alignment horizontal="center" vertical="center" wrapText="1"/>
      <protection hidden="1"/>
    </xf>
    <xf numFmtId="167" fontId="16" fillId="2" borderId="81" xfId="0" applyNumberFormat="1" applyFont="1" applyFill="1" applyBorder="1" applyAlignment="1" applyProtection="1">
      <alignment horizontal="center" vertical="center" wrapText="1"/>
      <protection hidden="1"/>
    </xf>
    <xf numFmtId="0" fontId="50" fillId="0" borderId="0" xfId="0" applyFont="1" applyAlignment="1" applyProtection="1">
      <alignment horizontal="center"/>
      <protection hidden="1"/>
    </xf>
    <xf numFmtId="2" fontId="56" fillId="0" borderId="0" xfId="0" applyNumberFormat="1" applyFont="1" applyAlignment="1" applyProtection="1">
      <alignment horizontal="center" vertical="center" wrapText="1"/>
      <protection hidden="1"/>
    </xf>
    <xf numFmtId="0" fontId="51" fillId="6" borderId="2" xfId="0" applyFont="1" applyFill="1" applyBorder="1" applyAlignment="1" applyProtection="1">
      <alignment horizontal="left" vertical="center"/>
      <protection locked="0"/>
    </xf>
    <xf numFmtId="0" fontId="51" fillId="0" borderId="15" xfId="0" applyFont="1" applyBorder="1" applyAlignment="1" applyProtection="1">
      <alignment horizontal="left" vertical="center"/>
      <protection locked="0"/>
    </xf>
    <xf numFmtId="3" fontId="13" fillId="4" borderId="33" xfId="0" applyNumberFormat="1" applyFont="1" applyFill="1" applyBorder="1" applyAlignment="1" applyProtection="1">
      <alignment horizontal="center" vertical="center"/>
      <protection locked="0"/>
    </xf>
    <xf numFmtId="172" fontId="13" fillId="3" borderId="15" xfId="0" applyNumberFormat="1" applyFont="1" applyFill="1" applyBorder="1" applyAlignment="1" applyProtection="1">
      <alignment horizontal="center" vertical="center"/>
      <protection hidden="1"/>
    </xf>
    <xf numFmtId="6" fontId="13" fillId="4" borderId="17" xfId="0" applyNumberFormat="1" applyFont="1" applyFill="1" applyBorder="1" applyAlignment="1" applyProtection="1">
      <alignment horizontal="center" vertical="center"/>
      <protection locked="0"/>
    </xf>
    <xf numFmtId="44" fontId="13" fillId="3" borderId="62" xfId="0" applyNumberFormat="1" applyFont="1" applyFill="1" applyBorder="1" applyAlignment="1" applyProtection="1">
      <alignment horizontal="left" vertical="center"/>
      <protection hidden="1"/>
    </xf>
    <xf numFmtId="44" fontId="13" fillId="3" borderId="2" xfId="0" applyNumberFormat="1" applyFont="1" applyFill="1" applyBorder="1" applyAlignment="1" applyProtection="1">
      <alignment horizontal="left" vertical="center"/>
      <protection hidden="1"/>
    </xf>
    <xf numFmtId="44" fontId="13" fillId="3" borderId="57" xfId="0" applyNumberFormat="1" applyFont="1" applyFill="1" applyBorder="1" applyAlignment="1" applyProtection="1">
      <alignment horizontal="left" vertical="center"/>
      <protection hidden="1"/>
    </xf>
    <xf numFmtId="167" fontId="13" fillId="3" borderId="57" xfId="0" applyNumberFormat="1" applyFont="1" applyFill="1" applyBorder="1" applyAlignment="1" applyProtection="1">
      <alignment horizontal="left" vertical="center"/>
      <protection hidden="1"/>
    </xf>
    <xf numFmtId="44" fontId="35" fillId="3" borderId="61" xfId="0" applyNumberFormat="1" applyFont="1" applyFill="1" applyBorder="1" applyAlignment="1" applyProtection="1">
      <alignment horizontal="left" vertical="center"/>
      <protection hidden="1"/>
    </xf>
    <xf numFmtId="0" fontId="57" fillId="0" borderId="0" xfId="0" applyFont="1" applyProtection="1">
      <protection hidden="1"/>
    </xf>
    <xf numFmtId="3" fontId="13" fillId="4" borderId="26" xfId="0" applyNumberFormat="1" applyFont="1" applyFill="1" applyBorder="1" applyAlignment="1" applyProtection="1">
      <alignment horizontal="center" vertical="center"/>
      <protection locked="0"/>
    </xf>
    <xf numFmtId="167" fontId="13" fillId="3" borderId="2" xfId="0" applyNumberFormat="1" applyFont="1" applyFill="1" applyBorder="1" applyAlignment="1" applyProtection="1">
      <alignment horizontal="left" vertical="center"/>
      <protection hidden="1"/>
    </xf>
    <xf numFmtId="44" fontId="35" fillId="3" borderId="3" xfId="0" applyNumberFormat="1" applyFont="1" applyFill="1" applyBorder="1" applyAlignment="1" applyProtection="1">
      <alignment horizontal="left" vertical="center"/>
      <protection hidden="1"/>
    </xf>
    <xf numFmtId="0" fontId="51" fillId="6" borderId="5" xfId="0" applyFont="1" applyFill="1" applyBorder="1" applyAlignment="1" applyProtection="1">
      <alignment horizontal="left" vertical="center"/>
      <protection locked="0"/>
    </xf>
    <xf numFmtId="3" fontId="13" fillId="4" borderId="48" xfId="0" applyNumberFormat="1" applyFont="1" applyFill="1" applyBorder="1" applyAlignment="1" applyProtection="1">
      <alignment horizontal="center" vertical="center"/>
      <protection locked="0"/>
    </xf>
    <xf numFmtId="172" fontId="13" fillId="3" borderId="5" xfId="0" applyNumberFormat="1" applyFont="1" applyFill="1" applyBorder="1" applyAlignment="1" applyProtection="1">
      <alignment horizontal="center" vertical="center"/>
      <protection hidden="1"/>
    </xf>
    <xf numFmtId="6" fontId="13" fillId="4" borderId="6" xfId="0" applyNumberFormat="1" applyFont="1" applyFill="1" applyBorder="1" applyAlignment="1" applyProtection="1">
      <alignment horizontal="center" vertical="center"/>
      <protection locked="0"/>
    </xf>
    <xf numFmtId="44" fontId="13" fillId="3" borderId="5" xfId="0" applyNumberFormat="1" applyFont="1" applyFill="1" applyBorder="1" applyAlignment="1" applyProtection="1">
      <alignment horizontal="left" vertical="center"/>
      <protection hidden="1"/>
    </xf>
    <xf numFmtId="167" fontId="13" fillId="3" borderId="5" xfId="0" applyNumberFormat="1" applyFont="1" applyFill="1" applyBorder="1" applyAlignment="1" applyProtection="1">
      <alignment horizontal="left" vertical="center"/>
      <protection hidden="1"/>
    </xf>
    <xf numFmtId="44" fontId="35" fillId="3" borderId="6" xfId="0" applyNumberFormat="1" applyFont="1" applyFill="1" applyBorder="1" applyAlignment="1" applyProtection="1">
      <alignment horizontal="left" vertical="center"/>
      <protection hidden="1"/>
    </xf>
    <xf numFmtId="0" fontId="51" fillId="0" borderId="0" xfId="0" applyFont="1" applyProtection="1">
      <protection hidden="1"/>
    </xf>
    <xf numFmtId="0" fontId="51" fillId="0" borderId="0" xfId="0" applyFont="1" applyAlignment="1" applyProtection="1">
      <alignment horizontal="center" vertical="center"/>
      <protection hidden="1"/>
    </xf>
    <xf numFmtId="167" fontId="51" fillId="0" borderId="0" xfId="0" applyNumberFormat="1" applyFont="1" applyAlignment="1" applyProtection="1">
      <alignment horizontal="left" vertical="center"/>
      <protection hidden="1"/>
    </xf>
    <xf numFmtId="0" fontId="39" fillId="0" borderId="0" xfId="0" applyFont="1" applyAlignment="1">
      <alignment vertical="top"/>
    </xf>
    <xf numFmtId="167" fontId="51" fillId="0" borderId="0" xfId="0" applyNumberFormat="1" applyFont="1" applyProtection="1">
      <protection hidden="1"/>
    </xf>
    <xf numFmtId="0" fontId="55" fillId="2" borderId="22" xfId="0" applyFont="1" applyFill="1" applyBorder="1" applyAlignment="1" applyProtection="1">
      <alignment horizontal="center" vertical="center"/>
      <protection hidden="1"/>
    </xf>
    <xf numFmtId="0" fontId="55" fillId="2" borderId="22" xfId="0" applyFont="1" applyFill="1" applyBorder="1" applyAlignment="1" applyProtection="1">
      <alignment horizontal="center" vertical="center" wrapText="1"/>
      <protection hidden="1"/>
    </xf>
    <xf numFmtId="167" fontId="16" fillId="2" borderId="45" xfId="0" applyNumberFormat="1" applyFont="1" applyFill="1" applyBorder="1" applyAlignment="1" applyProtection="1">
      <alignment horizontal="center" vertical="center" wrapText="1"/>
      <protection hidden="1"/>
    </xf>
    <xf numFmtId="14" fontId="51" fillId="0" borderId="16" xfId="0" applyNumberFormat="1" applyFont="1" applyBorder="1" applyAlignment="1" applyProtection="1">
      <alignment horizontal="left" vertical="center"/>
      <protection locked="0"/>
    </xf>
    <xf numFmtId="0" fontId="51" fillId="6" borderId="15" xfId="0" applyFont="1" applyFill="1" applyBorder="1" applyAlignment="1" applyProtection="1">
      <alignment horizontal="left" vertical="center"/>
      <protection locked="0"/>
    </xf>
    <xf numFmtId="0" fontId="51" fillId="0" borderId="33" xfId="0" applyFont="1" applyBorder="1" applyAlignment="1" applyProtection="1">
      <alignment horizontal="left" vertical="center"/>
      <protection locked="0"/>
    </xf>
    <xf numFmtId="0" fontId="51" fillId="0" borderId="35" xfId="0" applyFont="1" applyBorder="1" applyAlignment="1" applyProtection="1">
      <alignment horizontal="left" vertical="center"/>
      <protection locked="0"/>
    </xf>
    <xf numFmtId="0" fontId="13" fillId="4" borderId="33" xfId="0" applyFont="1" applyFill="1" applyBorder="1" applyAlignment="1" applyProtection="1">
      <alignment horizontal="center" vertical="center"/>
      <protection locked="0"/>
    </xf>
    <xf numFmtId="164" fontId="13" fillId="4" borderId="61" xfId="0" applyNumberFormat="1" applyFont="1" applyFill="1" applyBorder="1" applyAlignment="1" applyProtection="1">
      <alignment horizontal="center" vertical="center"/>
      <protection locked="0"/>
    </xf>
    <xf numFmtId="44" fontId="16" fillId="3" borderId="77" xfId="0" applyNumberFormat="1" applyFont="1" applyFill="1" applyBorder="1" applyAlignment="1" applyProtection="1">
      <alignment horizontal="left" vertical="center"/>
      <protection hidden="1"/>
    </xf>
    <xf numFmtId="167" fontId="13" fillId="13" borderId="70" xfId="0" applyNumberFormat="1" applyFont="1" applyFill="1" applyBorder="1" applyAlignment="1" applyProtection="1">
      <alignment horizontal="left" vertical="center"/>
      <protection hidden="1"/>
    </xf>
    <xf numFmtId="167" fontId="13" fillId="13" borderId="71" xfId="0" applyNumberFormat="1" applyFont="1" applyFill="1" applyBorder="1" applyAlignment="1" applyProtection="1">
      <alignment horizontal="left" vertical="center"/>
      <protection hidden="1"/>
    </xf>
    <xf numFmtId="0" fontId="51" fillId="0" borderId="26" xfId="0" applyFont="1" applyBorder="1" applyAlignment="1" applyProtection="1">
      <alignment horizontal="left" vertical="center"/>
      <protection locked="0"/>
    </xf>
    <xf numFmtId="0" fontId="51" fillId="0" borderId="27" xfId="0" applyFont="1" applyBorder="1" applyAlignment="1" applyProtection="1">
      <alignment horizontal="left" vertical="center"/>
      <protection locked="0"/>
    </xf>
    <xf numFmtId="0" fontId="13" fillId="4" borderId="26" xfId="0" applyFont="1" applyFill="1" applyBorder="1" applyAlignment="1" applyProtection="1">
      <alignment horizontal="center" vertical="center"/>
      <protection locked="0"/>
    </xf>
    <xf numFmtId="164" fontId="13" fillId="4" borderId="3" xfId="0" applyNumberFormat="1" applyFont="1" applyFill="1" applyBorder="1" applyAlignment="1" applyProtection="1">
      <alignment horizontal="center" vertical="center"/>
      <protection locked="0"/>
    </xf>
    <xf numFmtId="44" fontId="16" fillId="3" borderId="80" xfId="0" applyNumberFormat="1" applyFont="1" applyFill="1" applyBorder="1" applyAlignment="1" applyProtection="1">
      <alignment horizontal="left" vertical="center"/>
      <protection hidden="1"/>
    </xf>
    <xf numFmtId="167" fontId="13" fillId="13" borderId="29" xfId="0" applyNumberFormat="1" applyFont="1" applyFill="1" applyBorder="1" applyAlignment="1" applyProtection="1">
      <alignment horizontal="left" vertical="center"/>
      <protection hidden="1"/>
    </xf>
    <xf numFmtId="167" fontId="13" fillId="13" borderId="36" xfId="0" applyNumberFormat="1" applyFont="1" applyFill="1" applyBorder="1" applyAlignment="1" applyProtection="1">
      <alignment horizontal="left" vertical="center"/>
      <protection hidden="1"/>
    </xf>
    <xf numFmtId="0" fontId="51" fillId="0" borderId="48" xfId="0" applyFont="1" applyBorder="1" applyAlignment="1" applyProtection="1">
      <alignment horizontal="left" vertical="center"/>
      <protection locked="0"/>
    </xf>
    <xf numFmtId="0" fontId="51" fillId="0" borderId="50" xfId="0" applyFont="1" applyBorder="1" applyAlignment="1" applyProtection="1">
      <alignment horizontal="left" vertical="center"/>
      <protection locked="0"/>
    </xf>
    <xf numFmtId="0" fontId="13" fillId="4" borderId="48" xfId="0" applyFont="1" applyFill="1" applyBorder="1" applyAlignment="1" applyProtection="1">
      <alignment horizontal="center" vertical="center"/>
      <protection locked="0"/>
    </xf>
    <xf numFmtId="164" fontId="13" fillId="4" borderId="6" xfId="0" applyNumberFormat="1" applyFont="1" applyFill="1" applyBorder="1" applyAlignment="1" applyProtection="1">
      <alignment horizontal="center" vertical="center"/>
      <protection locked="0"/>
    </xf>
    <xf numFmtId="44" fontId="16" fillId="3" borderId="79" xfId="0" applyNumberFormat="1" applyFont="1" applyFill="1" applyBorder="1" applyAlignment="1" applyProtection="1">
      <alignment horizontal="left" vertical="center"/>
      <protection hidden="1"/>
    </xf>
    <xf numFmtId="167" fontId="13" fillId="13" borderId="60" xfId="0" applyNumberFormat="1" applyFont="1" applyFill="1" applyBorder="1" applyAlignment="1" applyProtection="1">
      <alignment horizontal="left" vertical="center"/>
      <protection hidden="1"/>
    </xf>
    <xf numFmtId="167" fontId="13" fillId="13" borderId="64" xfId="0" applyNumberFormat="1" applyFont="1" applyFill="1" applyBorder="1" applyAlignment="1" applyProtection="1">
      <alignment horizontal="left" vertical="center"/>
      <protection hidden="1"/>
    </xf>
    <xf numFmtId="0" fontId="36" fillId="0" borderId="0" xfId="0" applyFont="1" applyAlignment="1">
      <alignment vertical="top" wrapText="1"/>
    </xf>
    <xf numFmtId="0" fontId="36" fillId="0" borderId="0" xfId="0" applyFont="1" applyAlignment="1">
      <alignment horizontal="left" vertical="top" wrapText="1"/>
    </xf>
    <xf numFmtId="167" fontId="36" fillId="0" borderId="0" xfId="0" applyNumberFormat="1" applyFont="1" applyAlignment="1" applyProtection="1">
      <alignment horizontal="left" vertical="top" wrapText="1"/>
      <protection hidden="1"/>
    </xf>
    <xf numFmtId="167" fontId="54" fillId="0" borderId="0" xfId="0" applyNumberFormat="1" applyFont="1" applyAlignment="1" applyProtection="1">
      <alignment horizontal="right" vertical="center" wrapText="1"/>
      <protection hidden="1"/>
    </xf>
    <xf numFmtId="167" fontId="16" fillId="0" borderId="0" xfId="0" applyNumberFormat="1" applyFont="1" applyAlignment="1" applyProtection="1">
      <alignment horizontal="right" wrapText="1"/>
      <protection hidden="1"/>
    </xf>
    <xf numFmtId="167" fontId="40" fillId="0" borderId="0" xfId="0" applyNumberFormat="1" applyFont="1" applyProtection="1">
      <protection hidden="1"/>
    </xf>
    <xf numFmtId="167" fontId="36" fillId="0" borderId="0" xfId="0" applyNumberFormat="1" applyFont="1" applyAlignment="1" applyProtection="1">
      <alignment vertical="top" wrapText="1"/>
      <protection hidden="1"/>
    </xf>
    <xf numFmtId="167" fontId="15" fillId="0" borderId="0" xfId="0" applyNumberFormat="1" applyFont="1" applyProtection="1">
      <protection hidden="1"/>
    </xf>
    <xf numFmtId="0" fontId="28"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67" fontId="16" fillId="2" borderId="43" xfId="0" applyNumberFormat="1" applyFont="1" applyFill="1" applyBorder="1" applyAlignment="1" applyProtection="1">
      <alignment horizontal="center" vertical="center" wrapText="1"/>
      <protection hidden="1"/>
    </xf>
    <xf numFmtId="167" fontId="35" fillId="2" borderId="22" xfId="0" applyNumberFormat="1" applyFont="1" applyFill="1" applyBorder="1" applyAlignment="1" applyProtection="1">
      <alignment horizontal="center" vertical="center" wrapText="1"/>
      <protection hidden="1"/>
    </xf>
    <xf numFmtId="44" fontId="13" fillId="3" borderId="78" xfId="0" applyNumberFormat="1" applyFont="1" applyFill="1" applyBorder="1" applyAlignment="1">
      <alignment horizontal="left" vertical="center"/>
    </xf>
    <xf numFmtId="0" fontId="51" fillId="0" borderId="0" xfId="0" applyFont="1" applyAlignment="1">
      <alignment horizontal="left" vertical="center"/>
    </xf>
    <xf numFmtId="43" fontId="13" fillId="3" borderId="1" xfId="3" applyFont="1" applyFill="1" applyBorder="1" applyAlignment="1" applyProtection="1">
      <alignment horizontal="left" vertical="center"/>
      <protection hidden="1"/>
    </xf>
    <xf numFmtId="44" fontId="13" fillId="3" borderId="33" xfId="0" applyNumberFormat="1" applyFont="1" applyFill="1" applyBorder="1" applyAlignment="1" applyProtection="1">
      <alignment horizontal="left" vertical="center"/>
      <protection hidden="1"/>
    </xf>
    <xf numFmtId="167" fontId="13" fillId="3" borderId="57" xfId="3" applyNumberFormat="1" applyFont="1" applyFill="1" applyBorder="1" applyAlignment="1" applyProtection="1">
      <alignment horizontal="left" vertical="center"/>
      <protection hidden="1"/>
    </xf>
    <xf numFmtId="167" fontId="13" fillId="3" borderId="15" xfId="3" applyNumberFormat="1" applyFont="1" applyFill="1" applyBorder="1" applyAlignment="1" applyProtection="1">
      <alignment horizontal="left" vertical="center"/>
      <protection hidden="1"/>
    </xf>
    <xf numFmtId="44" fontId="13" fillId="3" borderId="79" xfId="0" applyNumberFormat="1" applyFont="1" applyFill="1" applyBorder="1" applyAlignment="1">
      <alignment horizontal="left" vertical="center"/>
    </xf>
    <xf numFmtId="43" fontId="13" fillId="3" borderId="4" xfId="3" applyFont="1" applyFill="1" applyBorder="1" applyAlignment="1" applyProtection="1">
      <alignment horizontal="left" vertical="center"/>
      <protection hidden="1"/>
    </xf>
    <xf numFmtId="44" fontId="13" fillId="3" borderId="60" xfId="0" applyNumberFormat="1" applyFont="1" applyFill="1" applyBorder="1" applyAlignment="1" applyProtection="1">
      <alignment horizontal="left" vertical="center"/>
      <protection hidden="1"/>
    </xf>
    <xf numFmtId="167" fontId="13" fillId="3" borderId="58" xfId="3" applyNumberFormat="1" applyFont="1" applyFill="1" applyBorder="1" applyAlignment="1" applyProtection="1">
      <alignment horizontal="left" vertical="center"/>
      <protection hidden="1"/>
    </xf>
    <xf numFmtId="0" fontId="15" fillId="0" borderId="0" xfId="0" applyFont="1" applyAlignment="1">
      <alignment horizontal="left" vertical="center"/>
    </xf>
    <xf numFmtId="164" fontId="51" fillId="0" borderId="0" xfId="0" applyNumberFormat="1" applyFont="1" applyAlignment="1">
      <alignment horizontal="left" vertical="center"/>
    </xf>
    <xf numFmtId="44" fontId="16" fillId="2" borderId="65" xfId="0" applyNumberFormat="1" applyFont="1" applyFill="1" applyBorder="1" applyAlignment="1" applyProtection="1">
      <alignment horizontal="left" vertical="center"/>
      <protection hidden="1"/>
    </xf>
    <xf numFmtId="43" fontId="13" fillId="4" borderId="22" xfId="3" applyFont="1" applyFill="1" applyBorder="1" applyAlignment="1" applyProtection="1">
      <alignment horizontal="center" vertical="center"/>
      <protection locked="0"/>
    </xf>
    <xf numFmtId="167" fontId="54" fillId="0" borderId="0" xfId="0" applyNumberFormat="1" applyFont="1" applyAlignment="1" applyProtection="1">
      <alignment horizontal="left" vertical="center" wrapText="1"/>
      <protection hidden="1"/>
    </xf>
    <xf numFmtId="167" fontId="16" fillId="0" borderId="0" xfId="0" applyNumberFormat="1" applyFont="1" applyAlignment="1" applyProtection="1">
      <alignment horizontal="left" vertical="center" wrapText="1"/>
      <protection hidden="1"/>
    </xf>
    <xf numFmtId="167" fontId="40" fillId="0" borderId="8" xfId="0" applyNumberFormat="1" applyFont="1" applyBorder="1" applyAlignment="1" applyProtection="1">
      <alignment horizontal="left" vertical="center"/>
      <protection hidden="1"/>
    </xf>
    <xf numFmtId="167" fontId="40" fillId="0" borderId="0" xfId="0" applyNumberFormat="1" applyFont="1" applyAlignment="1" applyProtection="1">
      <alignment horizontal="left" vertical="center"/>
      <protection hidden="1"/>
    </xf>
    <xf numFmtId="167" fontId="51" fillId="0" borderId="0" xfId="0" applyNumberFormat="1" applyFont="1" applyAlignment="1" applyProtection="1">
      <alignment vertical="center"/>
      <protection hidden="1"/>
    </xf>
    <xf numFmtId="167" fontId="40" fillId="0" borderId="11" xfId="0" applyNumberFormat="1" applyFont="1" applyBorder="1" applyProtection="1">
      <protection hidden="1"/>
    </xf>
    <xf numFmtId="167" fontId="55" fillId="2" borderId="22" xfId="0" applyNumberFormat="1" applyFont="1" applyFill="1" applyBorder="1" applyAlignment="1" applyProtection="1">
      <alignment horizontal="center" vertical="center" wrapText="1"/>
      <protection hidden="1"/>
    </xf>
    <xf numFmtId="167" fontId="16" fillId="2" borderId="22" xfId="0" applyNumberFormat="1" applyFont="1" applyFill="1" applyBorder="1" applyAlignment="1" applyProtection="1">
      <alignment horizontal="center" vertical="center" wrapText="1"/>
      <protection hidden="1"/>
    </xf>
    <xf numFmtId="44" fontId="13" fillId="4" borderId="77" xfId="0" applyNumberFormat="1" applyFont="1" applyFill="1" applyBorder="1" applyAlignment="1" applyProtection="1">
      <alignment horizontal="left" vertical="center"/>
      <protection locked="0"/>
    </xf>
    <xf numFmtId="44" fontId="35" fillId="3" borderId="42" xfId="0" applyNumberFormat="1" applyFont="1" applyFill="1" applyBorder="1" applyAlignment="1" applyProtection="1">
      <alignment horizontal="left" vertical="center"/>
      <protection hidden="1"/>
    </xf>
    <xf numFmtId="0" fontId="51" fillId="0" borderId="26" xfId="0" applyFont="1" applyBorder="1" applyAlignment="1" applyProtection="1">
      <alignment horizontal="left" vertical="center"/>
      <protection locked="0"/>
    </xf>
    <xf numFmtId="44" fontId="13" fillId="4" borderId="80" xfId="0" applyNumberFormat="1" applyFont="1" applyFill="1" applyBorder="1" applyAlignment="1" applyProtection="1">
      <alignment horizontal="left" vertical="center"/>
      <protection locked="0"/>
    </xf>
    <xf numFmtId="0" fontId="51" fillId="6" borderId="58" xfId="0" applyFont="1" applyFill="1" applyBorder="1" applyAlignment="1" applyProtection="1">
      <alignment horizontal="left" vertical="center"/>
      <protection locked="0"/>
    </xf>
    <xf numFmtId="0" fontId="51" fillId="0" borderId="48" xfId="0" applyFont="1" applyBorder="1" applyAlignment="1" applyProtection="1">
      <alignment horizontal="left" vertical="center"/>
      <protection locked="0"/>
    </xf>
    <xf numFmtId="44" fontId="13" fillId="4" borderId="79" xfId="0" applyNumberFormat="1" applyFont="1" applyFill="1" applyBorder="1" applyAlignment="1" applyProtection="1">
      <alignment horizontal="left" vertical="center"/>
      <protection locked="0"/>
    </xf>
    <xf numFmtId="44" fontId="35" fillId="3" borderId="12" xfId="0" applyNumberFormat="1" applyFont="1" applyFill="1" applyBorder="1" applyAlignment="1" applyProtection="1">
      <alignment horizontal="left" vertical="center"/>
      <protection hidden="1"/>
    </xf>
    <xf numFmtId="0" fontId="51" fillId="0" borderId="0" xfId="0" applyFont="1" applyAlignment="1" applyProtection="1">
      <alignment horizontal="left" vertical="center"/>
      <protection hidden="1"/>
    </xf>
    <xf numFmtId="0" fontId="27" fillId="0" borderId="0" xfId="0" applyFont="1" applyProtection="1">
      <protection hidden="1"/>
    </xf>
    <xf numFmtId="0" fontId="15" fillId="0" borderId="13" xfId="0" applyFont="1" applyBorder="1"/>
    <xf numFmtId="0" fontId="15" fillId="0" borderId="14" xfId="0" applyFont="1" applyBorder="1"/>
    <xf numFmtId="0" fontId="12" fillId="0" borderId="0" xfId="0" applyFont="1"/>
    <xf numFmtId="0" fontId="64" fillId="0" borderId="7" xfId="0" applyFont="1" applyBorder="1"/>
    <xf numFmtId="0" fontId="15" fillId="0" borderId="8" xfId="0" applyFont="1" applyBorder="1"/>
    <xf numFmtId="0" fontId="15" fillId="0" borderId="9" xfId="0" applyFont="1" applyBorder="1"/>
    <xf numFmtId="0" fontId="51" fillId="6" borderId="1" xfId="0" applyFont="1" applyFill="1" applyBorder="1" applyProtection="1">
      <protection locked="0"/>
    </xf>
    <xf numFmtId="5" fontId="13" fillId="4" borderId="1" xfId="0" applyNumberFormat="1" applyFont="1" applyFill="1" applyBorder="1" applyProtection="1">
      <protection locked="0"/>
    </xf>
    <xf numFmtId="167" fontId="35" fillId="3" borderId="1" xfId="0" applyNumberFormat="1" applyFont="1" applyFill="1" applyBorder="1" applyProtection="1">
      <protection hidden="1"/>
    </xf>
    <xf numFmtId="167" fontId="51" fillId="15" borderId="1" xfId="0" applyNumberFormat="1" applyFont="1" applyFill="1" applyBorder="1" applyAlignment="1" applyProtection="1">
      <alignment vertical="center"/>
      <protection hidden="1"/>
    </xf>
    <xf numFmtId="0" fontId="15" fillId="0" borderId="4" xfId="0" applyFont="1" applyBorder="1"/>
    <xf numFmtId="0" fontId="65" fillId="0" borderId="0" xfId="0" applyFont="1"/>
    <xf numFmtId="8" fontId="12" fillId="24" borderId="2" xfId="0" applyNumberFormat="1" applyFont="1" applyFill="1" applyBorder="1" applyAlignment="1">
      <alignment horizontal="center" vertical="center"/>
    </xf>
    <xf numFmtId="0" fontId="17" fillId="0" borderId="2" xfId="0" applyFont="1" applyBorder="1"/>
    <xf numFmtId="0" fontId="13" fillId="20" borderId="2" xfId="2" applyFont="1" applyFill="1" applyBorder="1" applyAlignment="1">
      <alignment horizontal="center" vertical="center" wrapText="1"/>
    </xf>
    <xf numFmtId="2" fontId="12" fillId="24" borderId="2" xfId="0" applyNumberFormat="1" applyFont="1" applyFill="1" applyBorder="1" applyAlignment="1">
      <alignment horizontal="center" vertical="center"/>
    </xf>
    <xf numFmtId="0" fontId="18" fillId="0" borderId="2" xfId="0" applyFont="1" applyBorder="1" applyAlignment="1">
      <alignment vertical="center"/>
    </xf>
    <xf numFmtId="0" fontId="18" fillId="0" borderId="2" xfId="0" applyFont="1" applyBorder="1" applyAlignment="1">
      <alignment horizontal="center" vertical="center"/>
    </xf>
    <xf numFmtId="0" fontId="19" fillId="0" borderId="2" xfId="0" applyFont="1" applyBorder="1" applyAlignment="1">
      <alignment vertical="center"/>
    </xf>
    <xf numFmtId="6" fontId="19" fillId="0" borderId="2" xfId="0" applyNumberFormat="1" applyFont="1" applyBorder="1" applyAlignment="1">
      <alignment horizontal="center" vertical="center"/>
    </xf>
    <xf numFmtId="6" fontId="18" fillId="0" borderId="2" xfId="0" applyNumberFormat="1" applyFont="1" applyBorder="1" applyAlignment="1">
      <alignment horizontal="center" vertical="center"/>
    </xf>
    <xf numFmtId="0" fontId="19" fillId="0" borderId="2" xfId="0" applyFont="1" applyBorder="1" applyAlignment="1">
      <alignment horizontal="center" vertical="center"/>
    </xf>
    <xf numFmtId="8" fontId="19" fillId="0" borderId="2" xfId="0" applyNumberFormat="1" applyFont="1" applyBorder="1" applyAlignment="1">
      <alignment horizontal="center" vertical="center"/>
    </xf>
    <xf numFmtId="0" fontId="19" fillId="23" borderId="2" xfId="0" applyFont="1" applyFill="1" applyBorder="1" applyAlignment="1">
      <alignment vertical="center"/>
    </xf>
    <xf numFmtId="8" fontId="19" fillId="23" borderId="2" xfId="0" applyNumberFormat="1" applyFont="1" applyFill="1" applyBorder="1" applyAlignment="1">
      <alignment horizontal="center" vertical="center"/>
    </xf>
    <xf numFmtId="0" fontId="1" fillId="0" borderId="0" xfId="0" applyFont="1" applyAlignment="1">
      <alignment horizontal="center"/>
    </xf>
    <xf numFmtId="0" fontId="1" fillId="0" borderId="0" xfId="0" applyFont="1"/>
    <xf numFmtId="168" fontId="1" fillId="0" borderId="0" xfId="3" applyNumberFormat="1" applyFont="1"/>
    <xf numFmtId="169" fontId="1" fillId="0" borderId="0" xfId="3" applyNumberFormat="1" applyFont="1"/>
    <xf numFmtId="8" fontId="17" fillId="0" borderId="36" xfId="3" applyNumberFormat="1" applyFont="1" applyBorder="1"/>
    <xf numFmtId="8" fontId="17" fillId="0" borderId="32" xfId="3" applyNumberFormat="1" applyFont="1" applyBorder="1"/>
    <xf numFmtId="0" fontId="13" fillId="0" borderId="7" xfId="2" applyFont="1" applyBorder="1"/>
    <xf numFmtId="0" fontId="13" fillId="0" borderId="8" xfId="2" applyFont="1" applyBorder="1"/>
    <xf numFmtId="0" fontId="13" fillId="0" borderId="9" xfId="2" applyFont="1" applyBorder="1"/>
    <xf numFmtId="0" fontId="13" fillId="0" borderId="13" xfId="2" applyFont="1" applyBorder="1"/>
    <xf numFmtId="0" fontId="13" fillId="0" borderId="14" xfId="2" applyFont="1" applyBorder="1"/>
    <xf numFmtId="0" fontId="16" fillId="22" borderId="22" xfId="2" applyFont="1" applyFill="1" applyBorder="1"/>
    <xf numFmtId="0" fontId="13" fillId="5" borderId="13" xfId="2" applyFont="1" applyFill="1" applyBorder="1"/>
    <xf numFmtId="0" fontId="13" fillId="5" borderId="46" xfId="2" applyFont="1" applyFill="1" applyBorder="1"/>
    <xf numFmtId="44" fontId="13" fillId="21" borderId="7" xfId="6" applyFont="1" applyFill="1" applyBorder="1" applyAlignment="1"/>
    <xf numFmtId="44" fontId="13" fillId="21" borderId="82" xfId="6" applyFont="1" applyFill="1" applyBorder="1" applyAlignment="1"/>
    <xf numFmtId="44" fontId="13" fillId="21" borderId="8" xfId="6" applyFont="1" applyFill="1" applyBorder="1" applyAlignment="1"/>
    <xf numFmtId="44" fontId="13" fillId="21" borderId="81" xfId="6" applyFont="1" applyFill="1" applyBorder="1" applyAlignment="1"/>
    <xf numFmtId="44" fontId="13" fillId="4" borderId="7" xfId="6" applyFont="1" applyFill="1" applyBorder="1" applyAlignment="1"/>
    <xf numFmtId="44" fontId="13" fillId="4" borderId="82" xfId="6" applyFont="1" applyFill="1" applyBorder="1" applyAlignment="1"/>
    <xf numFmtId="44" fontId="13" fillId="4" borderId="9" xfId="6" applyFont="1" applyFill="1" applyBorder="1" applyAlignment="1"/>
    <xf numFmtId="44" fontId="13" fillId="19" borderId="7" xfId="6" applyFont="1" applyFill="1" applyBorder="1" applyAlignment="1"/>
    <xf numFmtId="44" fontId="13" fillId="19" borderId="82" xfId="6" applyFont="1" applyFill="1" applyBorder="1" applyAlignment="1"/>
    <xf numFmtId="44" fontId="13" fillId="19" borderId="9" xfId="6" applyFont="1" applyFill="1" applyBorder="1" applyAlignment="1"/>
    <xf numFmtId="44" fontId="13" fillId="21" borderId="9" xfId="6" applyFont="1" applyFill="1" applyBorder="1" applyAlignment="1"/>
    <xf numFmtId="43" fontId="13" fillId="4" borderId="0" xfId="3" applyFont="1" applyFill="1" applyBorder="1" applyAlignment="1"/>
    <xf numFmtId="43" fontId="13" fillId="0" borderId="0" xfId="3" applyFont="1" applyBorder="1" applyAlignment="1"/>
    <xf numFmtId="43" fontId="13" fillId="0" borderId="14" xfId="3" applyFont="1" applyBorder="1" applyAlignment="1"/>
    <xf numFmtId="0" fontId="13" fillId="5" borderId="76" xfId="2" applyFont="1" applyFill="1" applyBorder="1"/>
    <xf numFmtId="44" fontId="13" fillId="21" borderId="13" xfId="6" applyFont="1" applyFill="1" applyBorder="1" applyAlignment="1"/>
    <xf numFmtId="44" fontId="13" fillId="21" borderId="18" xfId="6" applyFont="1" applyFill="1" applyBorder="1" applyAlignment="1"/>
    <xf numFmtId="44" fontId="13" fillId="21" borderId="0" xfId="6" applyFont="1" applyFill="1" applyBorder="1" applyAlignment="1"/>
    <xf numFmtId="44" fontId="13" fillId="21" borderId="83" xfId="6" applyFont="1" applyFill="1" applyBorder="1" applyAlignment="1"/>
    <xf numFmtId="44" fontId="13" fillId="4" borderId="13" xfId="6" applyFont="1" applyFill="1" applyBorder="1" applyAlignment="1"/>
    <xf numFmtId="44" fontId="13" fillId="4" borderId="18" xfId="6" applyFont="1" applyFill="1" applyBorder="1" applyAlignment="1"/>
    <xf numFmtId="44" fontId="13" fillId="4" borderId="14" xfId="6" applyFont="1" applyFill="1" applyBorder="1" applyAlignment="1"/>
    <xf numFmtId="44" fontId="13" fillId="19" borderId="13" xfId="6" applyFont="1" applyFill="1" applyBorder="1" applyAlignment="1"/>
    <xf numFmtId="44" fontId="13" fillId="19" borderId="18" xfId="6" applyFont="1" applyFill="1" applyBorder="1" applyAlignment="1"/>
    <xf numFmtId="44" fontId="13" fillId="19" borderId="14" xfId="6" applyFont="1" applyFill="1" applyBorder="1" applyAlignment="1"/>
    <xf numFmtId="44" fontId="13" fillId="21" borderId="14" xfId="6" applyFont="1" applyFill="1" applyBorder="1" applyAlignment="1"/>
    <xf numFmtId="0" fontId="13" fillId="5" borderId="47" xfId="2" applyFont="1" applyFill="1" applyBorder="1"/>
    <xf numFmtId="44" fontId="13" fillId="21" borderId="10" xfId="6" applyFont="1" applyFill="1" applyBorder="1" applyAlignment="1"/>
    <xf numFmtId="44" fontId="13" fillId="21" borderId="58" xfId="6" applyFont="1" applyFill="1" applyBorder="1" applyAlignment="1"/>
    <xf numFmtId="44" fontId="13" fillId="21" borderId="11" xfId="6" applyFont="1" applyFill="1" applyBorder="1" applyAlignment="1"/>
    <xf numFmtId="44" fontId="13" fillId="21" borderId="65" xfId="6" applyFont="1" applyFill="1" applyBorder="1" applyAlignment="1"/>
    <xf numFmtId="44" fontId="13" fillId="4" borderId="10" xfId="6" applyFont="1" applyFill="1" applyBorder="1" applyAlignment="1"/>
    <xf numFmtId="44" fontId="13" fillId="4" borderId="58" xfId="6" applyFont="1" applyFill="1" applyBorder="1" applyAlignment="1"/>
    <xf numFmtId="44" fontId="13" fillId="4" borderId="12" xfId="6" applyFont="1" applyFill="1" applyBorder="1" applyAlignment="1"/>
    <xf numFmtId="44" fontId="13" fillId="19" borderId="10" xfId="6" applyFont="1" applyFill="1" applyBorder="1" applyAlignment="1"/>
    <xf numFmtId="44" fontId="13" fillId="19" borderId="58" xfId="6" applyFont="1" applyFill="1" applyBorder="1" applyAlignment="1"/>
    <xf numFmtId="44" fontId="13" fillId="19" borderId="12" xfId="6" applyFont="1" applyFill="1" applyBorder="1" applyAlignment="1"/>
    <xf numFmtId="44" fontId="13" fillId="21" borderId="12" xfId="6" applyFont="1" applyFill="1" applyBorder="1" applyAlignment="1"/>
    <xf numFmtId="0" fontId="66" fillId="0" borderId="0" xfId="0" applyFont="1" applyAlignment="1">
      <alignment vertical="center"/>
    </xf>
    <xf numFmtId="0" fontId="67" fillId="0" borderId="0" xfId="0" applyFont="1" applyAlignment="1">
      <alignment horizontal="center" vertical="center"/>
    </xf>
    <xf numFmtId="0" fontId="68" fillId="0" borderId="0" xfId="0" applyFont="1" applyAlignment="1">
      <alignment vertical="center"/>
    </xf>
    <xf numFmtId="6" fontId="17" fillId="0" borderId="0" xfId="0" applyNumberFormat="1" applyFont="1" applyAlignment="1">
      <alignment horizontal="right" vertical="center"/>
    </xf>
    <xf numFmtId="173" fontId="17" fillId="0" borderId="0" xfId="0" applyNumberFormat="1" applyFont="1" applyAlignment="1">
      <alignment horizontal="right" vertical="center"/>
    </xf>
    <xf numFmtId="0" fontId="67" fillId="0" borderId="0" xfId="0" applyFont="1" applyAlignment="1">
      <alignment vertical="center"/>
    </xf>
    <xf numFmtId="6" fontId="55" fillId="0" borderId="0" xfId="0" applyNumberFormat="1" applyFont="1" applyAlignment="1">
      <alignment horizontal="right" vertical="center"/>
    </xf>
    <xf numFmtId="8" fontId="13" fillId="4" borderId="0" xfId="3" applyNumberFormat="1" applyFont="1" applyFill="1" applyBorder="1" applyAlignment="1"/>
    <xf numFmtId="0" fontId="13" fillId="4" borderId="13" xfId="2" applyFont="1" applyFill="1" applyBorder="1"/>
    <xf numFmtId="0" fontId="13" fillId="19" borderId="29" xfId="2" applyFont="1" applyFill="1" applyBorder="1"/>
    <xf numFmtId="8" fontId="13" fillId="19" borderId="0" xfId="3" applyNumberFormat="1" applyFont="1" applyFill="1" applyBorder="1" applyAlignment="1"/>
    <xf numFmtId="0" fontId="16" fillId="0" borderId="0" xfId="2" applyFont="1"/>
    <xf numFmtId="0" fontId="69" fillId="22" borderId="2" xfId="0" applyFont="1" applyFill="1" applyBorder="1" applyAlignment="1">
      <alignment horizontal="center" vertical="center" wrapText="1"/>
    </xf>
    <xf numFmtId="0" fontId="69" fillId="22" borderId="2" xfId="0" applyFont="1" applyFill="1" applyBorder="1" applyAlignment="1">
      <alignment horizontal="center" vertical="center"/>
    </xf>
    <xf numFmtId="0" fontId="16" fillId="22" borderId="51" xfId="0" applyFont="1" applyFill="1" applyBorder="1" applyAlignment="1">
      <alignment horizontal="center" vertical="center" wrapText="1"/>
    </xf>
    <xf numFmtId="0" fontId="16" fillId="22" borderId="52" xfId="0" applyFont="1" applyFill="1" applyBorder="1" applyAlignment="1">
      <alignment horizontal="center" vertical="center" wrapText="1"/>
    </xf>
    <xf numFmtId="0" fontId="16" fillId="22" borderId="15" xfId="0" applyFont="1" applyFill="1" applyBorder="1" applyAlignment="1">
      <alignment horizontal="center" vertical="center" wrapText="1"/>
    </xf>
    <xf numFmtId="0" fontId="16" fillId="22" borderId="53" xfId="0" applyFont="1" applyFill="1" applyBorder="1" applyAlignment="1">
      <alignment horizontal="center" vertical="center" wrapText="1"/>
    </xf>
    <xf numFmtId="0" fontId="13" fillId="0" borderId="55" xfId="0" applyFont="1" applyBorder="1" applyAlignment="1">
      <alignment vertical="center"/>
    </xf>
    <xf numFmtId="0" fontId="17" fillId="10" borderId="0" xfId="0" applyFont="1" applyFill="1" applyAlignment="1">
      <alignment vertical="center"/>
    </xf>
    <xf numFmtId="166" fontId="50" fillId="10" borderId="0" xfId="0" applyNumberFormat="1" applyFont="1" applyFill="1" applyAlignment="1">
      <alignment horizontal="center"/>
    </xf>
    <xf numFmtId="0" fontId="16" fillId="9" borderId="0" xfId="0" applyFont="1" applyFill="1" applyAlignment="1">
      <alignment horizontal="left" wrapText="1"/>
    </xf>
    <xf numFmtId="0" fontId="16" fillId="9" borderId="0" xfId="0" applyFont="1" applyFill="1" applyAlignment="1">
      <alignment horizontal="center" wrapText="1"/>
    </xf>
    <xf numFmtId="0" fontId="13" fillId="0" borderId="2" xfId="0" applyFont="1" applyBorder="1"/>
    <xf numFmtId="164" fontId="13" fillId="0" borderId="0" xfId="2" applyNumberFormat="1" applyFont="1"/>
    <xf numFmtId="0" fontId="16" fillId="0" borderId="0" xfId="0" applyFont="1"/>
    <xf numFmtId="1" fontId="17" fillId="0" borderId="0" xfId="0" applyNumberFormat="1" applyFont="1"/>
    <xf numFmtId="0" fontId="13" fillId="8" borderId="0" xfId="1" applyFont="1" applyFill="1" applyAlignment="1">
      <alignment vertical="top" wrapText="1"/>
    </xf>
    <xf numFmtId="0" fontId="13" fillId="14" borderId="0" xfId="1" applyFont="1" applyFill="1" applyAlignment="1">
      <alignment vertical="top" wrapText="1"/>
    </xf>
    <xf numFmtId="0" fontId="13" fillId="0" borderId="0" xfId="1" applyFont="1" applyAlignment="1">
      <alignment vertical="top" wrapText="1"/>
    </xf>
    <xf numFmtId="0" fontId="67" fillId="0" borderId="12" xfId="1" applyFont="1" applyBorder="1" applyAlignment="1">
      <alignment vertical="center"/>
    </xf>
    <xf numFmtId="0" fontId="67" fillId="0" borderId="11" xfId="1" applyFont="1" applyBorder="1" applyAlignment="1">
      <alignment horizontal="center" vertical="center"/>
    </xf>
    <xf numFmtId="0" fontId="67" fillId="0" borderId="58" xfId="1" applyFont="1" applyBorder="1" applyAlignment="1">
      <alignment horizontal="center" vertical="center"/>
    </xf>
    <xf numFmtId="0" fontId="67" fillId="0" borderId="58" xfId="1" applyFont="1" applyBorder="1" applyAlignment="1">
      <alignment horizontal="center" vertical="center" wrapText="1"/>
    </xf>
    <xf numFmtId="0" fontId="67" fillId="0" borderId="12" xfId="1" applyFont="1" applyBorder="1" applyAlignment="1">
      <alignment horizontal="center" vertical="center" wrapText="1"/>
    </xf>
    <xf numFmtId="0" fontId="66" fillId="0" borderId="43" xfId="1" applyFont="1" applyBorder="1" applyAlignment="1">
      <alignment vertical="center"/>
    </xf>
    <xf numFmtId="0" fontId="67" fillId="0" borderId="12" xfId="1" applyFont="1" applyBorder="1" applyAlignment="1">
      <alignment horizontal="center" vertical="center"/>
    </xf>
    <xf numFmtId="0" fontId="68" fillId="0" borderId="62" xfId="1" applyFont="1" applyBorder="1" applyAlignment="1">
      <alignment vertical="center"/>
    </xf>
    <xf numFmtId="6" fontId="17" fillId="0" borderId="57" xfId="1" applyNumberFormat="1" applyFont="1" applyBorder="1" applyAlignment="1">
      <alignment horizontal="right" vertical="center"/>
    </xf>
    <xf numFmtId="0" fontId="68" fillId="0" borderId="1" xfId="1" applyFont="1" applyBorder="1" applyAlignment="1">
      <alignment vertical="center"/>
    </xf>
    <xf numFmtId="6" fontId="17" fillId="0" borderId="28" xfId="1" applyNumberFormat="1" applyFont="1" applyBorder="1" applyAlignment="1">
      <alignment horizontal="right" vertical="center"/>
    </xf>
    <xf numFmtId="6" fontId="17" fillId="0" borderId="2" xfId="1" applyNumberFormat="1" applyFont="1" applyBorder="1" applyAlignment="1">
      <alignment horizontal="right" vertical="center"/>
    </xf>
    <xf numFmtId="6" fontId="17" fillId="0" borderId="38" xfId="1" applyNumberFormat="1" applyFont="1" applyBorder="1" applyAlignment="1">
      <alignment horizontal="right" vertical="center"/>
    </xf>
    <xf numFmtId="0" fontId="68" fillId="0" borderId="84" xfId="1" applyFont="1" applyBorder="1" applyAlignment="1">
      <alignment vertical="center"/>
    </xf>
    <xf numFmtId="6" fontId="17" fillId="0" borderId="5" xfId="1" applyNumberFormat="1" applyFont="1" applyBorder="1" applyAlignment="1">
      <alignment horizontal="right" vertical="center"/>
    </xf>
    <xf numFmtId="6" fontId="17" fillId="0" borderId="50" xfId="1" applyNumberFormat="1" applyFont="1" applyBorder="1" applyAlignment="1">
      <alignment horizontal="right" vertical="center"/>
    </xf>
    <xf numFmtId="6" fontId="17" fillId="0" borderId="75" xfId="1" applyNumberFormat="1" applyFont="1" applyBorder="1" applyAlignment="1">
      <alignment horizontal="right" vertical="center"/>
    </xf>
    <xf numFmtId="0" fontId="67" fillId="0" borderId="84" xfId="1" applyFont="1" applyBorder="1" applyAlignment="1">
      <alignment vertical="center"/>
    </xf>
    <xf numFmtId="6" fontId="55" fillId="0" borderId="58" xfId="1" applyNumberFormat="1" applyFont="1" applyBorder="1" applyAlignment="1">
      <alignment horizontal="right" vertical="center"/>
    </xf>
    <xf numFmtId="6" fontId="55" fillId="0" borderId="64" xfId="1" applyNumberFormat="1" applyFont="1" applyBorder="1" applyAlignment="1">
      <alignment horizontal="right" vertical="center"/>
    </xf>
    <xf numFmtId="6" fontId="55" fillId="0" borderId="12" xfId="1" applyNumberFormat="1" applyFont="1" applyBorder="1" applyAlignment="1">
      <alignment horizontal="right" vertical="center"/>
    </xf>
    <xf numFmtId="6" fontId="17" fillId="0" borderId="11" xfId="1" applyNumberFormat="1" applyFont="1" applyBorder="1" applyAlignment="1">
      <alignment horizontal="right" vertical="center"/>
    </xf>
    <xf numFmtId="6" fontId="17" fillId="0" borderId="58" xfId="1" applyNumberFormat="1" applyFont="1" applyBorder="1" applyAlignment="1">
      <alignment horizontal="right" vertical="center"/>
    </xf>
    <xf numFmtId="6" fontId="17" fillId="0" borderId="64" xfId="1" applyNumberFormat="1" applyFont="1" applyBorder="1" applyAlignment="1">
      <alignment horizontal="right" vertical="center"/>
    </xf>
    <xf numFmtId="6" fontId="17" fillId="0" borderId="12" xfId="1" applyNumberFormat="1" applyFont="1" applyBorder="1" applyAlignment="1">
      <alignment horizontal="right" vertical="center"/>
    </xf>
    <xf numFmtId="6" fontId="55" fillId="0" borderId="44" xfId="1" applyNumberFormat="1" applyFont="1" applyBorder="1" applyAlignment="1">
      <alignment horizontal="right" vertical="center"/>
    </xf>
    <xf numFmtId="0" fontId="17" fillId="0" borderId="19" xfId="1" applyFont="1" applyBorder="1" applyAlignment="1">
      <alignment vertical="center"/>
    </xf>
    <xf numFmtId="6" fontId="17" fillId="0" borderId="20" xfId="1" applyNumberFormat="1" applyFont="1" applyBorder="1" applyAlignment="1">
      <alignment vertical="center"/>
    </xf>
    <xf numFmtId="6" fontId="17" fillId="0" borderId="21" xfId="1" applyNumberFormat="1" applyFont="1" applyBorder="1" applyAlignment="1">
      <alignment vertical="center"/>
    </xf>
    <xf numFmtId="0" fontId="68" fillId="0" borderId="68" xfId="1" applyFont="1" applyBorder="1" applyAlignment="1">
      <alignment vertical="center"/>
    </xf>
    <xf numFmtId="0" fontId="68" fillId="0" borderId="57" xfId="1" applyFont="1" applyBorder="1" applyAlignment="1">
      <alignment horizontal="right" vertical="center"/>
    </xf>
    <xf numFmtId="0" fontId="68" fillId="0" borderId="72" xfId="1" applyFont="1" applyBorder="1" applyAlignment="1">
      <alignment horizontal="right" vertical="center"/>
    </xf>
    <xf numFmtId="0" fontId="68" fillId="0" borderId="37" xfId="1" applyFont="1" applyBorder="1" applyAlignment="1">
      <alignment vertical="center"/>
    </xf>
    <xf numFmtId="0" fontId="68" fillId="0" borderId="2" xfId="1" applyFont="1" applyBorder="1" applyAlignment="1">
      <alignment horizontal="right" vertical="center"/>
    </xf>
    <xf numFmtId="0" fontId="68" fillId="0" borderId="38" xfId="1" applyFont="1" applyBorder="1" applyAlignment="1">
      <alignment horizontal="right" vertical="center"/>
    </xf>
    <xf numFmtId="0" fontId="68" fillId="0" borderId="41" xfId="1" applyFont="1" applyBorder="1" applyAlignment="1">
      <alignment vertical="center"/>
    </xf>
    <xf numFmtId="0" fontId="68" fillId="0" borderId="15" xfId="1" applyFont="1" applyBorder="1" applyAlignment="1">
      <alignment horizontal="right" vertical="center"/>
    </xf>
    <xf numFmtId="0" fontId="68" fillId="0" borderId="42" xfId="1" applyFont="1" applyBorder="1" applyAlignment="1">
      <alignment horizontal="right" vertical="center"/>
    </xf>
    <xf numFmtId="0" fontId="68" fillId="0" borderId="10" xfId="1" applyFont="1" applyBorder="1" applyAlignment="1">
      <alignment vertical="center"/>
    </xf>
    <xf numFmtId="0" fontId="68" fillId="0" borderId="58" xfId="1" applyFont="1" applyBorder="1" applyAlignment="1">
      <alignment horizontal="right" vertical="center"/>
    </xf>
    <xf numFmtId="0" fontId="68" fillId="0" borderId="12" xfId="1" applyFont="1" applyBorder="1" applyAlignment="1">
      <alignment horizontal="right" vertical="center"/>
    </xf>
    <xf numFmtId="0" fontId="67" fillId="0" borderId="10" xfId="1" applyFont="1" applyBorder="1" applyAlignment="1">
      <alignment vertical="center"/>
    </xf>
    <xf numFmtId="0" fontId="55" fillId="0" borderId="19" xfId="1" applyFont="1" applyBorder="1" applyAlignment="1">
      <alignment horizontal="justify" vertical="center"/>
    </xf>
    <xf numFmtId="0" fontId="17" fillId="0" borderId="20" xfId="1" applyFont="1" applyBorder="1" applyAlignment="1">
      <alignment horizontal="right" vertical="center"/>
    </xf>
    <xf numFmtId="0" fontId="17" fillId="0" borderId="21" xfId="1" applyFont="1" applyBorder="1" applyAlignment="1">
      <alignment horizontal="right" vertical="center"/>
    </xf>
    <xf numFmtId="8" fontId="17" fillId="0" borderId="57" xfId="1" applyNumberFormat="1" applyFont="1" applyBorder="1" applyAlignment="1">
      <alignment horizontal="right" vertical="center"/>
    </xf>
    <xf numFmtId="8" fontId="17" fillId="0" borderId="72" xfId="1" applyNumberFormat="1" applyFont="1" applyBorder="1" applyAlignment="1">
      <alignment horizontal="right" vertical="center"/>
    </xf>
    <xf numFmtId="8" fontId="17" fillId="0" borderId="58" xfId="1" applyNumberFormat="1" applyFont="1" applyBorder="1" applyAlignment="1">
      <alignment horizontal="right" vertical="center"/>
    </xf>
    <xf numFmtId="8" fontId="17" fillId="0" borderId="12" xfId="1" applyNumberFormat="1" applyFont="1" applyBorder="1" applyAlignment="1">
      <alignment horizontal="right" vertical="center"/>
    </xf>
    <xf numFmtId="0" fontId="67" fillId="0" borderId="19" xfId="1" applyFont="1" applyBorder="1" applyAlignment="1">
      <alignment vertical="center"/>
    </xf>
    <xf numFmtId="0" fontId="67" fillId="0" borderId="20" xfId="1" applyFont="1" applyBorder="1" applyAlignment="1">
      <alignment horizontal="right" vertical="center"/>
    </xf>
    <xf numFmtId="0" fontId="67" fillId="0" borderId="21" xfId="1" applyFont="1" applyBorder="1" applyAlignment="1">
      <alignment horizontal="right" vertical="center"/>
    </xf>
    <xf numFmtId="0" fontId="55" fillId="24" borderId="68" xfId="1" applyFont="1" applyFill="1" applyBorder="1" applyAlignment="1">
      <alignment horizontal="center" vertical="center"/>
    </xf>
    <xf numFmtId="8" fontId="55" fillId="24" borderId="57" xfId="1" applyNumberFormat="1" applyFont="1" applyFill="1" applyBorder="1" applyAlignment="1">
      <alignment horizontal="right" vertical="center"/>
    </xf>
    <xf numFmtId="0" fontId="55" fillId="24" borderId="37" xfId="1" applyFont="1" applyFill="1" applyBorder="1" applyAlignment="1">
      <alignment horizontal="center" vertical="center"/>
    </xf>
    <xf numFmtId="8" fontId="55" fillId="24" borderId="2" xfId="1" applyNumberFormat="1" applyFont="1" applyFill="1" applyBorder="1" applyAlignment="1">
      <alignment horizontal="right" vertical="center"/>
    </xf>
    <xf numFmtId="0" fontId="55" fillId="24" borderId="10" xfId="1" applyFont="1" applyFill="1" applyBorder="1" applyAlignment="1">
      <alignment horizontal="center" vertical="center"/>
    </xf>
    <xf numFmtId="8" fontId="55" fillId="24" borderId="58" xfId="1" applyNumberFormat="1" applyFont="1" applyFill="1" applyBorder="1" applyAlignment="1">
      <alignment horizontal="right" vertical="center"/>
    </xf>
    <xf numFmtId="0" fontId="17" fillId="0" borderId="2" xfId="0" applyFont="1" applyBorder="1" applyAlignment="1">
      <alignment vertical="center"/>
    </xf>
    <xf numFmtId="0" fontId="68" fillId="0" borderId="2" xfId="0" applyFont="1" applyBorder="1" applyAlignment="1">
      <alignment horizontal="center" vertical="center"/>
    </xf>
    <xf numFmtId="0" fontId="17" fillId="0" borderId="2" xfId="0" applyFont="1" applyBorder="1" applyAlignment="1">
      <alignment horizontal="center" vertical="center"/>
    </xf>
    <xf numFmtId="165" fontId="17" fillId="0" borderId="54" xfId="0" applyNumberFormat="1" applyFont="1" applyBorder="1" applyAlignment="1">
      <alignment vertical="center"/>
    </xf>
    <xf numFmtId="0" fontId="17" fillId="0" borderId="2" xfId="0" applyFont="1" applyBorder="1" applyAlignment="1">
      <alignment horizontal="right" vertical="center"/>
    </xf>
    <xf numFmtId="0" fontId="39" fillId="0" borderId="0" xfId="2" applyFont="1"/>
    <xf numFmtId="0" fontId="17" fillId="0" borderId="55" xfId="0" applyFont="1" applyBorder="1" applyAlignment="1">
      <alignment horizontal="center" vertical="center"/>
    </xf>
    <xf numFmtId="0" fontId="17" fillId="0" borderId="55" xfId="0" applyFont="1" applyBorder="1" applyAlignment="1">
      <alignment vertical="center"/>
    </xf>
    <xf numFmtId="164" fontId="17" fillId="0" borderId="56" xfId="0" applyNumberFormat="1" applyFont="1" applyBorder="1" applyAlignment="1">
      <alignment vertical="center"/>
    </xf>
    <xf numFmtId="164" fontId="17" fillId="0" borderId="2" xfId="0" applyNumberFormat="1" applyFont="1" applyBorder="1"/>
    <xf numFmtId="164" fontId="16" fillId="2" borderId="94" xfId="0" applyNumberFormat="1" applyFont="1" applyFill="1" applyBorder="1" applyAlignment="1" applyProtection="1">
      <alignment horizontal="center" vertical="center" wrapText="1"/>
      <protection hidden="1"/>
    </xf>
    <xf numFmtId="44" fontId="35" fillId="3" borderId="33" xfId="0" applyNumberFormat="1" applyFont="1" applyFill="1" applyBorder="1" applyAlignment="1" applyProtection="1">
      <alignment horizontal="left" vertical="center"/>
      <protection hidden="1"/>
    </xf>
    <xf numFmtId="44" fontId="35" fillId="3" borderId="60" xfId="0" applyNumberFormat="1" applyFont="1" applyFill="1" applyBorder="1" applyAlignment="1" applyProtection="1">
      <alignment horizontal="left" vertical="center"/>
      <protection hidden="1"/>
    </xf>
    <xf numFmtId="44" fontId="16" fillId="2" borderId="94" xfId="0" applyNumberFormat="1" applyFont="1" applyFill="1" applyBorder="1" applyAlignment="1" applyProtection="1">
      <alignment horizontal="left" vertical="center"/>
      <protection hidden="1"/>
    </xf>
    <xf numFmtId="0" fontId="39" fillId="0" borderId="0" xfId="0" applyFont="1" applyBorder="1" applyAlignment="1" applyProtection="1">
      <alignment horizontal="left" vertical="top" wrapText="1"/>
      <protection hidden="1"/>
    </xf>
    <xf numFmtId="0" fontId="15" fillId="0" borderId="0" xfId="0" applyFont="1" applyBorder="1" applyAlignment="1" applyProtection="1">
      <alignment horizontal="center"/>
      <protection hidden="1"/>
    </xf>
    <xf numFmtId="0" fontId="15" fillId="0" borderId="0" xfId="0" applyFont="1" applyBorder="1" applyAlignment="1" applyProtection="1">
      <alignment horizontal="left"/>
      <protection hidden="1"/>
    </xf>
    <xf numFmtId="0" fontId="32" fillId="13" borderId="0" xfId="1" applyFont="1" applyFill="1" applyBorder="1" applyAlignment="1" applyProtection="1">
      <alignment horizontal="center" vertical="center" wrapText="1"/>
      <protection hidden="1"/>
    </xf>
    <xf numFmtId="14" fontId="35" fillId="4" borderId="26" xfId="0" applyNumberFormat="1" applyFont="1" applyFill="1" applyBorder="1" applyAlignment="1" applyProtection="1">
      <alignment horizontal="left" vertical="center"/>
      <protection locked="0"/>
    </xf>
    <xf numFmtId="0" fontId="36" fillId="0" borderId="0" xfId="0" applyFont="1" applyBorder="1" applyAlignment="1" applyProtection="1">
      <alignment horizontal="right"/>
      <protection hidden="1"/>
    </xf>
    <xf numFmtId="0" fontId="27" fillId="0" borderId="0" xfId="0" applyFont="1" applyBorder="1" applyAlignment="1" applyProtection="1">
      <alignment horizontal="center"/>
      <protection hidden="1"/>
    </xf>
    <xf numFmtId="0" fontId="15" fillId="0" borderId="0" xfId="0" applyFont="1" applyBorder="1"/>
    <xf numFmtId="0" fontId="25" fillId="0" borderId="0" xfId="1" applyFont="1" applyBorder="1" applyAlignment="1" applyProtection="1">
      <alignment horizontal="center" vertical="center" wrapText="1"/>
      <protection hidden="1"/>
    </xf>
    <xf numFmtId="0" fontId="24" fillId="0" borderId="8" xfId="0" applyFont="1" applyBorder="1" applyProtection="1">
      <protection hidden="1"/>
    </xf>
    <xf numFmtId="0" fontId="24" fillId="0" borderId="9" xfId="0" applyFont="1" applyBorder="1" applyProtection="1">
      <protection hidden="1"/>
    </xf>
    <xf numFmtId="0" fontId="24" fillId="0" borderId="14" xfId="0" applyFont="1" applyBorder="1" applyProtection="1">
      <protection hidden="1"/>
    </xf>
    <xf numFmtId="0" fontId="28" fillId="0" borderId="14" xfId="0" applyFont="1" applyBorder="1" applyProtection="1">
      <protection hidden="1"/>
    </xf>
    <xf numFmtId="0" fontId="28" fillId="13" borderId="14" xfId="0" applyFont="1" applyFill="1" applyBorder="1" applyProtection="1">
      <protection hidden="1"/>
    </xf>
    <xf numFmtId="0" fontId="33" fillId="0" borderId="14" xfId="0" applyFont="1" applyBorder="1" applyProtection="1">
      <protection hidden="1"/>
    </xf>
    <xf numFmtId="0" fontId="33" fillId="13" borderId="14" xfId="0" applyFont="1" applyFill="1" applyBorder="1" applyProtection="1">
      <protection hidden="1"/>
    </xf>
    <xf numFmtId="0" fontId="24" fillId="0" borderId="12" xfId="0" applyFont="1" applyBorder="1" applyProtection="1">
      <protection hidden="1"/>
    </xf>
    <xf numFmtId="0" fontId="33" fillId="0" borderId="76" xfId="0" applyFont="1" applyBorder="1" applyProtection="1">
      <protection hidden="1"/>
    </xf>
    <xf numFmtId="0" fontId="28" fillId="0" borderId="76" xfId="0" applyFont="1" applyBorder="1" applyProtection="1">
      <protection hidden="1"/>
    </xf>
    <xf numFmtId="0" fontId="28" fillId="11" borderId="0" xfId="0" applyFont="1" applyFill="1" applyBorder="1" applyProtection="1">
      <protection hidden="1"/>
    </xf>
    <xf numFmtId="0" fontId="29" fillId="11" borderId="0" xfId="0" applyFont="1" applyFill="1" applyBorder="1" applyProtection="1">
      <protection hidden="1"/>
    </xf>
    <xf numFmtId="0" fontId="24" fillId="0" borderId="83" xfId="0" applyFont="1" applyBorder="1" applyProtection="1">
      <protection hidden="1"/>
    </xf>
    <xf numFmtId="0" fontId="24" fillId="0" borderId="11" xfId="0" applyFont="1" applyBorder="1" applyProtection="1">
      <protection hidden="1"/>
    </xf>
    <xf numFmtId="0" fontId="28" fillId="0" borderId="0" xfId="0" applyFont="1" applyBorder="1" applyProtection="1">
      <protection hidden="1"/>
    </xf>
    <xf numFmtId="0" fontId="28" fillId="0" borderId="13" xfId="0" applyFont="1" applyBorder="1" applyProtection="1">
      <protection hidden="1"/>
    </xf>
    <xf numFmtId="0" fontId="24" fillId="0" borderId="13" xfId="0" applyFont="1" applyBorder="1" applyProtection="1">
      <protection hidden="1"/>
    </xf>
    <xf numFmtId="0" fontId="15" fillId="0" borderId="7" xfId="0" applyFont="1" applyBorder="1"/>
    <xf numFmtId="2" fontId="16" fillId="2" borderId="9" xfId="0" applyNumberFormat="1" applyFont="1" applyFill="1" applyBorder="1" applyAlignment="1" applyProtection="1">
      <alignment horizontal="center" vertical="center" wrapText="1"/>
      <protection hidden="1"/>
    </xf>
    <xf numFmtId="171" fontId="13" fillId="3" borderId="57" xfId="3" applyNumberFormat="1" applyFont="1" applyFill="1" applyBorder="1" applyAlignment="1" applyProtection="1">
      <alignment horizontal="center" vertical="center"/>
      <protection hidden="1"/>
    </xf>
    <xf numFmtId="4" fontId="13" fillId="3" borderId="2" xfId="3" applyNumberFormat="1" applyFont="1" applyFill="1" applyBorder="1" applyAlignment="1" applyProtection="1">
      <alignment horizontal="center" vertical="center"/>
      <protection hidden="1"/>
    </xf>
    <xf numFmtId="4" fontId="13" fillId="3" borderId="5" xfId="3" applyNumberFormat="1" applyFont="1" applyFill="1" applyBorder="1" applyAlignment="1" applyProtection="1">
      <alignment horizontal="center" vertical="center"/>
      <protection hidden="1"/>
    </xf>
    <xf numFmtId="167" fontId="16" fillId="2" borderId="76" xfId="0" applyNumberFormat="1" applyFont="1" applyFill="1" applyBorder="1" applyAlignment="1" applyProtection="1">
      <alignment horizontal="center" vertical="center" wrapText="1"/>
      <protection hidden="1"/>
    </xf>
    <xf numFmtId="167" fontId="16" fillId="2" borderId="13" xfId="0" applyNumberFormat="1" applyFont="1" applyFill="1" applyBorder="1" applyAlignment="1" applyProtection="1">
      <alignment horizontal="center" vertical="center" wrapText="1"/>
      <protection hidden="1"/>
    </xf>
    <xf numFmtId="164" fontId="13" fillId="3" borderId="15" xfId="0" applyNumberFormat="1" applyFont="1" applyFill="1" applyBorder="1" applyAlignment="1" applyProtection="1">
      <alignment horizontal="center" vertical="center"/>
      <protection hidden="1"/>
    </xf>
    <xf numFmtId="0" fontId="51" fillId="0" borderId="1" xfId="0" applyFont="1" applyBorder="1" applyAlignment="1" applyProtection="1">
      <alignment horizontal="left" vertical="center"/>
      <protection locked="0"/>
    </xf>
    <xf numFmtId="0" fontId="51" fillId="0" borderId="4" xfId="0" applyFont="1" applyBorder="1" applyAlignment="1" applyProtection="1">
      <alignment horizontal="left" vertical="center"/>
      <protection locked="0"/>
    </xf>
    <xf numFmtId="164" fontId="13" fillId="3" borderId="5" xfId="0" applyNumberFormat="1" applyFont="1" applyFill="1" applyBorder="1" applyAlignment="1" applyProtection="1">
      <alignment horizontal="center" vertical="center"/>
      <protection hidden="1"/>
    </xf>
    <xf numFmtId="43" fontId="13" fillId="4" borderId="22" xfId="3" applyFont="1" applyFill="1" applyBorder="1" applyAlignment="1" applyProtection="1">
      <alignment horizontal="center" vertical="center"/>
    </xf>
    <xf numFmtId="0" fontId="51" fillId="0" borderId="8" xfId="0" applyFont="1" applyBorder="1" applyAlignment="1" applyProtection="1">
      <alignment horizontal="left" vertical="center"/>
      <protection hidden="1"/>
    </xf>
    <xf numFmtId="0" fontId="29" fillId="11" borderId="14" xfId="0" applyFont="1" applyFill="1" applyBorder="1" applyProtection="1">
      <protection hidden="1"/>
    </xf>
    <xf numFmtId="0" fontId="29" fillId="0" borderId="0" xfId="0" applyFont="1" applyBorder="1" applyProtection="1">
      <protection hidden="1"/>
    </xf>
    <xf numFmtId="0" fontId="42" fillId="0" borderId="13" xfId="0" applyFont="1" applyBorder="1" applyAlignment="1" applyProtection="1">
      <alignment vertical="top" wrapText="1"/>
      <protection hidden="1"/>
    </xf>
    <xf numFmtId="0" fontId="42" fillId="0" borderId="0" xfId="0" applyFont="1" applyBorder="1" applyAlignment="1" applyProtection="1">
      <alignment vertical="top" wrapText="1"/>
      <protection hidden="1"/>
    </xf>
    <xf numFmtId="0" fontId="43" fillId="0" borderId="0" xfId="0" applyFont="1" applyBorder="1" applyAlignment="1" applyProtection="1">
      <alignment vertical="top" wrapText="1"/>
      <protection hidden="1"/>
    </xf>
    <xf numFmtId="0" fontId="50" fillId="0" borderId="0" xfId="0" applyFont="1" applyBorder="1" applyProtection="1">
      <protection hidden="1"/>
    </xf>
    <xf numFmtId="0" fontId="51" fillId="0" borderId="11" xfId="0" applyFont="1" applyBorder="1"/>
    <xf numFmtId="164" fontId="51" fillId="0" borderId="11" xfId="0" applyNumberFormat="1" applyFont="1" applyBorder="1"/>
    <xf numFmtId="167" fontId="51" fillId="0" borderId="11" xfId="0" applyNumberFormat="1" applyFont="1" applyBorder="1" applyAlignment="1">
      <alignment vertical="center"/>
    </xf>
    <xf numFmtId="167" fontId="54" fillId="0" borderId="11" xfId="0" applyNumberFormat="1" applyFont="1" applyBorder="1" applyAlignment="1">
      <alignment horizontal="right" vertical="center" wrapText="1"/>
    </xf>
    <xf numFmtId="167" fontId="16" fillId="0" borderId="11" xfId="0" applyNumberFormat="1" applyFont="1" applyBorder="1" applyAlignment="1">
      <alignment horizontal="right" wrapText="1"/>
    </xf>
    <xf numFmtId="0" fontId="72" fillId="0" borderId="0" xfId="0" applyFont="1" applyProtection="1">
      <protection hidden="1"/>
    </xf>
    <xf numFmtId="0" fontId="74" fillId="0" borderId="0" xfId="0" applyFont="1" applyProtection="1">
      <protection hidden="1"/>
    </xf>
    <xf numFmtId="0" fontId="29" fillId="0" borderId="13" xfId="0" applyFont="1" applyBorder="1" applyProtection="1">
      <protection hidden="1"/>
    </xf>
    <xf numFmtId="0" fontId="29" fillId="0" borderId="0" xfId="0" applyFont="1" applyAlignment="1" applyProtection="1">
      <alignment horizontal="right"/>
      <protection hidden="1"/>
    </xf>
    <xf numFmtId="0" fontId="29" fillId="0" borderId="14" xfId="0" applyFont="1" applyBorder="1" applyAlignment="1" applyProtection="1">
      <alignment horizontal="right"/>
      <protection hidden="1"/>
    </xf>
    <xf numFmtId="0" fontId="39" fillId="0" borderId="13" xfId="0" applyFont="1" applyBorder="1" applyAlignment="1">
      <alignment vertical="top"/>
    </xf>
    <xf numFmtId="0" fontId="39" fillId="0" borderId="10" xfId="0" applyFont="1" applyBorder="1" applyAlignment="1">
      <alignment vertical="top"/>
    </xf>
    <xf numFmtId="0" fontId="29" fillId="0" borderId="7" xfId="0" applyFont="1" applyBorder="1" applyProtection="1">
      <protection hidden="1"/>
    </xf>
    <xf numFmtId="0" fontId="29" fillId="0" borderId="8" xfId="0" applyFont="1" applyBorder="1" applyProtection="1">
      <protection hidden="1"/>
    </xf>
    <xf numFmtId="0" fontId="29" fillId="0" borderId="8" xfId="0" applyFont="1" applyBorder="1" applyAlignment="1" applyProtection="1">
      <alignment horizontal="right"/>
      <protection hidden="1"/>
    </xf>
    <xf numFmtId="0" fontId="29" fillId="0" borderId="9" xfId="0" applyFont="1" applyBorder="1" applyAlignment="1" applyProtection="1">
      <alignment horizontal="right"/>
      <protection hidden="1"/>
    </xf>
    <xf numFmtId="167" fontId="16" fillId="0" borderId="7" xfId="0" applyNumberFormat="1" applyFont="1" applyBorder="1" applyAlignment="1" applyProtection="1">
      <alignment vertical="center" wrapText="1"/>
      <protection hidden="1"/>
    </xf>
    <xf numFmtId="167" fontId="16" fillId="0" borderId="8" xfId="0" applyNumberFormat="1" applyFont="1" applyBorder="1" applyAlignment="1" applyProtection="1">
      <alignment vertical="center" wrapText="1"/>
      <protection hidden="1"/>
    </xf>
    <xf numFmtId="167" fontId="13" fillId="0" borderId="13" xfId="0" applyNumberFormat="1" applyFont="1" applyBorder="1" applyAlignment="1" applyProtection="1">
      <alignment vertical="center"/>
      <protection hidden="1"/>
    </xf>
    <xf numFmtId="167" fontId="13" fillId="0" borderId="0" xfId="0" applyNumberFormat="1" applyFont="1" applyAlignment="1" applyProtection="1">
      <alignment vertical="center"/>
      <protection hidden="1"/>
    </xf>
    <xf numFmtId="5" fontId="35" fillId="0" borderId="20" xfId="0" applyNumberFormat="1" applyFont="1" applyBorder="1" applyAlignment="1" applyProtection="1">
      <alignment horizontal="right" vertical="center"/>
      <protection hidden="1"/>
    </xf>
    <xf numFmtId="5" fontId="35" fillId="0" borderId="21" xfId="0" applyNumberFormat="1" applyFont="1" applyBorder="1" applyAlignment="1" applyProtection="1">
      <alignment horizontal="right" vertical="center"/>
      <protection hidden="1"/>
    </xf>
    <xf numFmtId="170" fontId="35" fillId="0" borderId="0" xfId="0" applyNumberFormat="1" applyFont="1" applyProtection="1">
      <protection hidden="1"/>
    </xf>
    <xf numFmtId="0" fontId="29" fillId="0" borderId="10" xfId="0" applyFont="1" applyBorder="1" applyAlignment="1" applyProtection="1">
      <alignment vertical="center" wrapText="1"/>
      <protection hidden="1"/>
    </xf>
    <xf numFmtId="0" fontId="29" fillId="0" borderId="11" xfId="0" applyFont="1" applyBorder="1" applyAlignment="1" applyProtection="1">
      <alignment vertical="center" wrapText="1"/>
      <protection hidden="1"/>
    </xf>
    <xf numFmtId="0" fontId="27" fillId="0" borderId="11" xfId="0" applyFont="1" applyBorder="1" applyAlignment="1" applyProtection="1">
      <alignment horizontal="right"/>
      <protection hidden="1"/>
    </xf>
    <xf numFmtId="0" fontId="27" fillId="0" borderId="12" xfId="0" applyFont="1" applyBorder="1" applyAlignment="1" applyProtection="1">
      <alignment horizontal="right"/>
      <protection hidden="1"/>
    </xf>
    <xf numFmtId="0" fontId="29" fillId="0" borderId="0" xfId="0" applyFont="1" applyAlignment="1" applyProtection="1">
      <alignment vertical="center" wrapText="1"/>
      <protection hidden="1"/>
    </xf>
    <xf numFmtId="0" fontId="70" fillId="0" borderId="0" xfId="0" applyFont="1" applyProtection="1">
      <protection hidden="1"/>
    </xf>
    <xf numFmtId="0" fontId="51" fillId="0" borderId="26" xfId="0" applyFont="1" applyBorder="1" applyProtection="1">
      <protection locked="0"/>
    </xf>
    <xf numFmtId="0" fontId="51" fillId="0" borderId="28" xfId="0" applyFont="1" applyBorder="1" applyProtection="1">
      <protection locked="0"/>
    </xf>
    <xf numFmtId="0" fontId="51" fillId="0" borderId="27" xfId="0" applyFont="1" applyBorder="1" applyProtection="1">
      <protection locked="0"/>
    </xf>
    <xf numFmtId="0" fontId="29" fillId="0" borderId="10" xfId="0" applyFont="1" applyBorder="1" applyAlignment="1" applyProtection="1">
      <alignment horizontal="left" vertical="center" wrapText="1"/>
      <protection hidden="1"/>
    </xf>
    <xf numFmtId="0" fontId="29" fillId="0" borderId="11" xfId="0" applyFont="1" applyBorder="1" applyAlignment="1" applyProtection="1">
      <alignment horizontal="left" vertical="center" wrapText="1"/>
      <protection hidden="1"/>
    </xf>
    <xf numFmtId="5" fontId="35" fillId="0" borderId="11" xfId="0" applyNumberFormat="1" applyFont="1" applyBorder="1" applyAlignment="1" applyProtection="1">
      <alignment horizontal="right" vertical="center"/>
      <protection hidden="1"/>
    </xf>
    <xf numFmtId="5" fontId="35" fillId="0" borderId="12" xfId="0" applyNumberFormat="1" applyFont="1" applyBorder="1" applyAlignment="1" applyProtection="1">
      <alignment horizontal="right" vertical="center"/>
      <protection hidden="1"/>
    </xf>
    <xf numFmtId="0" fontId="29" fillId="0" borderId="0" xfId="0" applyFont="1" applyAlignment="1" applyProtection="1">
      <alignment horizontal="left" vertical="center" wrapText="1"/>
      <protection hidden="1"/>
    </xf>
    <xf numFmtId="5" fontId="35" fillId="0" borderId="0" xfId="0" applyNumberFormat="1" applyFont="1" applyAlignment="1" applyProtection="1">
      <alignment horizontal="right" vertical="center"/>
      <protection hidden="1"/>
    </xf>
    <xf numFmtId="14" fontId="51" fillId="0" borderId="1" xfId="0" applyNumberFormat="1" applyFont="1" applyBorder="1" applyAlignment="1" applyProtection="1">
      <alignment vertical="center"/>
      <protection locked="0"/>
    </xf>
    <xf numFmtId="0" fontId="51" fillId="0" borderId="2" xfId="0" applyFont="1" applyBorder="1" applyAlignment="1" applyProtection="1">
      <alignment vertical="center"/>
      <protection locked="0"/>
    </xf>
    <xf numFmtId="0" fontId="51" fillId="6" borderId="2" xfId="0" applyFont="1" applyFill="1" applyBorder="1" applyAlignment="1" applyProtection="1">
      <alignment vertical="center"/>
      <protection locked="0"/>
    </xf>
    <xf numFmtId="4" fontId="13" fillId="3" borderId="57" xfId="3" applyNumberFormat="1" applyFont="1" applyFill="1" applyBorder="1" applyAlignment="1" applyProtection="1">
      <alignment horizontal="center" vertical="center"/>
      <protection hidden="1"/>
    </xf>
    <xf numFmtId="44" fontId="13" fillId="3" borderId="1" xfId="0" applyNumberFormat="1" applyFont="1" applyFill="1" applyBorder="1" applyAlignment="1" applyProtection="1">
      <alignment vertical="center"/>
      <protection hidden="1"/>
    </xf>
    <xf numFmtId="14" fontId="51" fillId="0" borderId="4" xfId="0" applyNumberFormat="1" applyFont="1" applyBorder="1" applyAlignment="1" applyProtection="1">
      <alignment vertical="center"/>
      <protection locked="0"/>
    </xf>
    <xf numFmtId="0" fontId="51" fillId="0" borderId="5" xfId="0" applyFont="1" applyBorder="1" applyAlignment="1" applyProtection="1">
      <alignment vertical="center"/>
      <protection locked="0"/>
    </xf>
    <xf numFmtId="0" fontId="51" fillId="6" borderId="5" xfId="0" applyFont="1" applyFill="1" applyBorder="1" applyAlignment="1" applyProtection="1">
      <alignment vertical="center"/>
      <protection locked="0"/>
    </xf>
    <xf numFmtId="44" fontId="13" fillId="3" borderId="4" xfId="0" applyNumberFormat="1" applyFont="1" applyFill="1" applyBorder="1" applyAlignment="1" applyProtection="1">
      <alignment vertical="center"/>
      <protection hidden="1"/>
    </xf>
    <xf numFmtId="5" fontId="51" fillId="0" borderId="0" xfId="0" applyNumberFormat="1" applyFont="1" applyAlignment="1" applyProtection="1">
      <alignment vertical="center"/>
      <protection hidden="1"/>
    </xf>
    <xf numFmtId="5" fontId="16" fillId="0" borderId="0" xfId="0" applyNumberFormat="1" applyFont="1" applyAlignment="1" applyProtection="1">
      <alignment horizontal="center" vertical="center" wrapText="1"/>
      <protection hidden="1"/>
    </xf>
    <xf numFmtId="44" fontId="16" fillId="0" borderId="0" xfId="0" applyNumberFormat="1" applyFont="1" applyAlignment="1" applyProtection="1">
      <alignment horizontal="left" vertical="center"/>
      <protection hidden="1"/>
    </xf>
    <xf numFmtId="0" fontId="55" fillId="2" borderId="19" xfId="0" applyFont="1" applyFill="1" applyBorder="1" applyAlignment="1" applyProtection="1">
      <alignment horizontal="center" vertical="center"/>
      <protection hidden="1"/>
    </xf>
    <xf numFmtId="167" fontId="16" fillId="2" borderId="47" xfId="0" applyNumberFormat="1" applyFont="1" applyFill="1" applyBorder="1" applyAlignment="1" applyProtection="1">
      <alignment vertical="center" wrapText="1"/>
      <protection hidden="1"/>
    </xf>
    <xf numFmtId="167" fontId="16" fillId="2" borderId="45" xfId="0" applyNumberFormat="1" applyFont="1" applyFill="1" applyBorder="1" applyAlignment="1" applyProtection="1">
      <alignment vertical="center" wrapText="1"/>
      <protection hidden="1"/>
    </xf>
    <xf numFmtId="14" fontId="51" fillId="0" borderId="68" xfId="0" applyNumberFormat="1" applyFont="1" applyBorder="1" applyProtection="1">
      <protection locked="0"/>
    </xf>
    <xf numFmtId="0" fontId="51" fillId="0" borderId="62" xfId="0" applyFont="1" applyBorder="1" applyProtection="1">
      <protection locked="0"/>
    </xf>
    <xf numFmtId="0" fontId="51" fillId="6" borderId="57" xfId="0" applyFont="1" applyFill="1" applyBorder="1" applyAlignment="1" applyProtection="1">
      <alignment vertical="center"/>
      <protection locked="0"/>
    </xf>
    <xf numFmtId="2" fontId="13" fillId="4" borderId="57" xfId="0" applyNumberFormat="1" applyFont="1" applyFill="1" applyBorder="1" applyAlignment="1" applyProtection="1">
      <alignment horizontal="center" vertical="center"/>
      <protection locked="0"/>
    </xf>
    <xf numFmtId="2" fontId="13" fillId="4" borderId="73" xfId="0" applyNumberFormat="1" applyFont="1" applyFill="1" applyBorder="1" applyAlignment="1" applyProtection="1">
      <alignment horizontal="center" vertical="center"/>
      <protection locked="0"/>
    </xf>
    <xf numFmtId="167" fontId="51" fillId="15" borderId="61" xfId="0" applyNumberFormat="1" applyFont="1" applyFill="1" applyBorder="1" applyAlignment="1" applyProtection="1">
      <alignment vertical="center"/>
      <protection locked="0"/>
    </xf>
    <xf numFmtId="167" fontId="13" fillId="3" borderId="62" xfId="0" applyNumberFormat="1" applyFont="1" applyFill="1" applyBorder="1" applyAlignment="1" applyProtection="1">
      <alignment vertical="center"/>
      <protection hidden="1"/>
    </xf>
    <xf numFmtId="167" fontId="13" fillId="13" borderId="70" xfId="0" applyNumberFormat="1" applyFont="1" applyFill="1" applyBorder="1" applyAlignment="1" applyProtection="1">
      <alignment vertical="center"/>
      <protection hidden="1"/>
    </xf>
    <xf numFmtId="167" fontId="13" fillId="13" borderId="71" xfId="0" applyNumberFormat="1" applyFont="1" applyFill="1" applyBorder="1" applyProtection="1">
      <protection hidden="1"/>
    </xf>
    <xf numFmtId="167" fontId="35" fillId="3" borderId="17" xfId="0" applyNumberFormat="1" applyFont="1" applyFill="1" applyBorder="1" applyProtection="1">
      <protection hidden="1"/>
    </xf>
    <xf numFmtId="14" fontId="51" fillId="0" borderId="37" xfId="0" applyNumberFormat="1" applyFont="1" applyBorder="1" applyProtection="1">
      <protection locked="0"/>
    </xf>
    <xf numFmtId="0" fontId="51" fillId="0" borderId="1" xfId="0" applyFont="1" applyBorder="1" applyProtection="1">
      <protection locked="0"/>
    </xf>
    <xf numFmtId="0" fontId="51" fillId="6" borderId="15" xfId="0" applyFont="1" applyFill="1" applyBorder="1" applyAlignment="1" applyProtection="1">
      <alignment vertical="center"/>
      <protection locked="0"/>
    </xf>
    <xf numFmtId="2" fontId="13" fillId="4" borderId="33" xfId="0" applyNumberFormat="1" applyFont="1" applyFill="1" applyBorder="1" applyAlignment="1" applyProtection="1">
      <alignment horizontal="center" vertical="center"/>
      <protection locked="0"/>
    </xf>
    <xf numFmtId="167" fontId="51" fillId="15" borderId="3" xfId="0" applyNumberFormat="1" applyFont="1" applyFill="1" applyBorder="1" applyAlignment="1" applyProtection="1">
      <alignment vertical="center"/>
      <protection locked="0"/>
    </xf>
    <xf numFmtId="167" fontId="13" fillId="3" borderId="1" xfId="0" applyNumberFormat="1" applyFont="1" applyFill="1" applyBorder="1" applyAlignment="1" applyProtection="1">
      <alignment vertical="center"/>
      <protection hidden="1"/>
    </xf>
    <xf numFmtId="167" fontId="13" fillId="13" borderId="29" xfId="0" applyNumberFormat="1" applyFont="1" applyFill="1" applyBorder="1" applyAlignment="1" applyProtection="1">
      <alignment vertical="center"/>
      <protection hidden="1"/>
    </xf>
    <xf numFmtId="167" fontId="13" fillId="13" borderId="36" xfId="0" applyNumberFormat="1" applyFont="1" applyFill="1" applyBorder="1" applyProtection="1">
      <protection hidden="1"/>
    </xf>
    <xf numFmtId="14" fontId="51" fillId="0" borderId="74" xfId="0" applyNumberFormat="1" applyFont="1" applyBorder="1" applyProtection="1">
      <protection locked="0"/>
    </xf>
    <xf numFmtId="0" fontId="51" fillId="0" borderId="4" xfId="0" applyFont="1" applyBorder="1" applyProtection="1">
      <protection locked="0"/>
    </xf>
    <xf numFmtId="0" fontId="51" fillId="6" borderId="58" xfId="0" applyFont="1" applyFill="1" applyBorder="1" applyAlignment="1" applyProtection="1">
      <alignment vertical="center"/>
      <protection locked="0"/>
    </xf>
    <xf numFmtId="2" fontId="13" fillId="4" borderId="48" xfId="0" applyNumberFormat="1" applyFont="1" applyFill="1" applyBorder="1" applyAlignment="1" applyProtection="1">
      <alignment horizontal="center" vertical="center"/>
      <protection locked="0"/>
    </xf>
    <xf numFmtId="167" fontId="51" fillId="15" borderId="6" xfId="0" applyNumberFormat="1" applyFont="1" applyFill="1" applyBorder="1" applyAlignment="1" applyProtection="1">
      <alignment vertical="center"/>
      <protection locked="0"/>
    </xf>
    <xf numFmtId="167" fontId="13" fillId="3" borderId="4" xfId="0" applyNumberFormat="1" applyFont="1" applyFill="1" applyBorder="1" applyAlignment="1" applyProtection="1">
      <alignment vertical="center"/>
      <protection hidden="1"/>
    </xf>
    <xf numFmtId="167" fontId="13" fillId="13" borderId="60" xfId="0" applyNumberFormat="1" applyFont="1" applyFill="1" applyBorder="1" applyAlignment="1" applyProtection="1">
      <alignment vertical="center"/>
      <protection hidden="1"/>
    </xf>
    <xf numFmtId="167" fontId="13" fillId="13" borderId="64" xfId="0" applyNumberFormat="1" applyFont="1" applyFill="1" applyBorder="1" applyProtection="1">
      <protection hidden="1"/>
    </xf>
    <xf numFmtId="167" fontId="35" fillId="3" borderId="65" xfId="0" applyNumberFormat="1" applyFont="1" applyFill="1" applyBorder="1" applyProtection="1">
      <protection hidden="1"/>
    </xf>
    <xf numFmtId="0" fontId="39" fillId="0" borderId="8" xfId="0" applyFont="1" applyBorder="1" applyAlignment="1">
      <alignment vertical="top"/>
    </xf>
    <xf numFmtId="167" fontId="35" fillId="2" borderId="22" xfId="0" applyNumberFormat="1" applyFont="1" applyFill="1" applyBorder="1" applyProtection="1">
      <protection hidden="1"/>
    </xf>
    <xf numFmtId="5" fontId="54" fillId="0" borderId="0" xfId="0" applyNumberFormat="1" applyFont="1" applyAlignment="1" applyProtection="1">
      <alignment horizontal="center" vertical="top" wrapText="1"/>
      <protection hidden="1"/>
    </xf>
    <xf numFmtId="5" fontId="35" fillId="0" borderId="0" xfId="0" applyNumberFormat="1" applyFont="1" applyAlignment="1" applyProtection="1">
      <alignment vertical="center"/>
      <protection hidden="1"/>
    </xf>
    <xf numFmtId="5" fontId="54" fillId="0" borderId="8" xfId="0" applyNumberFormat="1" applyFont="1" applyBorder="1" applyAlignment="1" applyProtection="1">
      <alignment horizontal="center" vertical="top" wrapText="1"/>
      <protection hidden="1"/>
    </xf>
    <xf numFmtId="5" fontId="35" fillId="0" borderId="8" xfId="0" applyNumberFormat="1" applyFont="1" applyBorder="1" applyAlignment="1" applyProtection="1">
      <alignment vertical="center"/>
      <protection hidden="1"/>
    </xf>
    <xf numFmtId="0" fontId="29" fillId="0" borderId="20" xfId="0" applyFont="1" applyBorder="1" applyAlignment="1" applyProtection="1">
      <alignment horizontal="right"/>
      <protection hidden="1"/>
    </xf>
    <xf numFmtId="0" fontId="72" fillId="0" borderId="0" xfId="0" applyFont="1" applyBorder="1" applyProtection="1">
      <protection hidden="1"/>
    </xf>
    <xf numFmtId="0" fontId="74" fillId="0" borderId="0" xfId="0" applyFont="1" applyBorder="1" applyProtection="1">
      <protection hidden="1"/>
    </xf>
    <xf numFmtId="0" fontId="74" fillId="0" borderId="13" xfId="0" applyFont="1" applyBorder="1" applyProtection="1">
      <protection hidden="1"/>
    </xf>
    <xf numFmtId="0" fontId="52" fillId="4" borderId="57" xfId="0" applyFont="1" applyFill="1" applyBorder="1" applyProtection="1">
      <protection locked="0"/>
    </xf>
    <xf numFmtId="0" fontId="52" fillId="4" borderId="2" xfId="0" applyFont="1" applyFill="1" applyBorder="1" applyAlignment="1" applyProtection="1">
      <alignment horizontal="left"/>
    </xf>
    <xf numFmtId="0" fontId="52" fillId="4" borderId="5" xfId="0" applyFont="1" applyFill="1" applyBorder="1" applyAlignment="1" applyProtection="1">
      <alignment horizontal="left"/>
    </xf>
    <xf numFmtId="44" fontId="13" fillId="18" borderId="57" xfId="3" applyNumberFormat="1" applyFont="1" applyFill="1" applyBorder="1" applyAlignment="1" applyProtection="1">
      <alignment horizontal="center" vertical="center"/>
      <protection locked="0"/>
    </xf>
    <xf numFmtId="44" fontId="13" fillId="18" borderId="15" xfId="3" applyNumberFormat="1" applyFont="1" applyFill="1" applyBorder="1" applyAlignment="1" applyProtection="1">
      <alignment horizontal="center" vertical="center"/>
      <protection locked="0"/>
    </xf>
    <xf numFmtId="44" fontId="13" fillId="18" borderId="58" xfId="3" applyNumberFormat="1" applyFont="1" applyFill="1" applyBorder="1" applyAlignment="1" applyProtection="1">
      <alignment horizontal="center" vertical="center"/>
      <protection locked="0"/>
    </xf>
    <xf numFmtId="0" fontId="29" fillId="11" borderId="7" xfId="0" applyFont="1" applyFill="1" applyBorder="1" applyAlignment="1" applyProtection="1">
      <alignment horizontal="left" vertical="top" wrapText="1"/>
      <protection hidden="1"/>
    </xf>
    <xf numFmtId="0" fontId="29" fillId="11" borderId="0" xfId="0" applyFont="1" applyFill="1" applyBorder="1" applyAlignment="1" applyProtection="1">
      <alignment horizontal="left" vertical="top" wrapText="1"/>
      <protection hidden="1"/>
    </xf>
    <xf numFmtId="0" fontId="34" fillId="3" borderId="39" xfId="0" applyFont="1" applyFill="1" applyBorder="1" applyAlignment="1" applyProtection="1">
      <alignment horizontal="left" vertical="center" wrapText="1"/>
      <protection hidden="1"/>
    </xf>
    <xf numFmtId="0" fontId="34" fillId="3" borderId="31" xfId="0" applyFont="1" applyFill="1" applyBorder="1" applyAlignment="1" applyProtection="1">
      <alignment horizontal="left" vertical="center" wrapText="1"/>
      <protection hidden="1"/>
    </xf>
    <xf numFmtId="0" fontId="34" fillId="3" borderId="32" xfId="0" applyFont="1" applyFill="1" applyBorder="1" applyAlignment="1" applyProtection="1">
      <alignment horizontal="left" vertical="center" wrapText="1"/>
      <protection hidden="1"/>
    </xf>
    <xf numFmtId="0" fontId="34" fillId="3" borderId="13" xfId="0" applyFont="1" applyFill="1" applyBorder="1" applyAlignment="1" applyProtection="1">
      <alignment horizontal="left" vertical="center" wrapText="1"/>
      <protection hidden="1"/>
    </xf>
    <xf numFmtId="0" fontId="34" fillId="3" borderId="0" xfId="0" applyFont="1" applyFill="1" applyAlignment="1" applyProtection="1">
      <alignment horizontal="left" vertical="center" wrapText="1"/>
      <protection hidden="1"/>
    </xf>
    <xf numFmtId="0" fontId="34" fillId="3" borderId="36" xfId="0" applyFont="1" applyFill="1" applyBorder="1" applyAlignment="1" applyProtection="1">
      <alignment horizontal="left" vertical="center" wrapText="1"/>
      <protection hidden="1"/>
    </xf>
    <xf numFmtId="0" fontId="34" fillId="3" borderId="41" xfId="0" applyFont="1" applyFill="1" applyBorder="1" applyAlignment="1" applyProtection="1">
      <alignment horizontal="left" vertical="center" wrapText="1"/>
      <protection hidden="1"/>
    </xf>
    <xf numFmtId="0" fontId="34" fillId="3" borderId="34" xfId="0" applyFont="1" applyFill="1" applyBorder="1" applyAlignment="1" applyProtection="1">
      <alignment horizontal="left" vertical="center" wrapText="1"/>
      <protection hidden="1"/>
    </xf>
    <xf numFmtId="0" fontId="34" fillId="3" borderId="35" xfId="0" applyFont="1" applyFill="1" applyBorder="1" applyAlignment="1" applyProtection="1">
      <alignment horizontal="left" vertical="center" wrapText="1"/>
      <protection hidden="1"/>
    </xf>
    <xf numFmtId="0" fontId="40" fillId="3" borderId="26" xfId="0" applyFont="1" applyFill="1" applyBorder="1" applyAlignment="1" applyProtection="1">
      <alignment horizontal="center" vertical="center" wrapText="1"/>
      <protection hidden="1"/>
    </xf>
    <xf numFmtId="0" fontId="40" fillId="3" borderId="28" xfId="0" applyFont="1" applyFill="1" applyBorder="1" applyAlignment="1" applyProtection="1">
      <alignment horizontal="center" vertical="center" wrapText="1"/>
      <protection hidden="1"/>
    </xf>
    <xf numFmtId="0" fontId="15" fillId="4" borderId="26" xfId="0" quotePrefix="1" applyFont="1" applyFill="1" applyBorder="1" applyAlignment="1" applyProtection="1">
      <alignment horizontal="left" vertical="center"/>
      <protection locked="0"/>
    </xf>
    <xf numFmtId="0" fontId="15" fillId="4" borderId="28" xfId="0" applyFont="1" applyFill="1" applyBorder="1" applyAlignment="1" applyProtection="1">
      <alignment horizontal="left" vertical="center"/>
      <protection locked="0"/>
    </xf>
    <xf numFmtId="0" fontId="15" fillId="4" borderId="27" xfId="0" applyFont="1" applyFill="1" applyBorder="1" applyAlignment="1" applyProtection="1">
      <alignment horizontal="left" vertical="center"/>
      <protection locked="0"/>
    </xf>
    <xf numFmtId="49" fontId="15" fillId="4" borderId="26" xfId="0" quotePrefix="1" applyNumberFormat="1" applyFont="1" applyFill="1" applyBorder="1" applyAlignment="1" applyProtection="1">
      <alignment horizontal="left" vertical="center"/>
      <protection locked="0"/>
    </xf>
    <xf numFmtId="49" fontId="15" fillId="4" borderId="28" xfId="0" applyNumberFormat="1" applyFont="1" applyFill="1" applyBorder="1" applyAlignment="1" applyProtection="1">
      <alignment horizontal="left" vertical="center"/>
      <protection locked="0"/>
    </xf>
    <xf numFmtId="49" fontId="15" fillId="4" borderId="27" xfId="0" applyNumberFormat="1" applyFont="1" applyFill="1" applyBorder="1" applyAlignment="1" applyProtection="1">
      <alignment horizontal="left" vertical="center"/>
      <protection locked="0"/>
    </xf>
    <xf numFmtId="0" fontId="15" fillId="4" borderId="26" xfId="0" applyFont="1" applyFill="1" applyBorder="1" applyAlignment="1" applyProtection="1">
      <alignment horizontal="left" vertical="center"/>
      <protection locked="0"/>
    </xf>
    <xf numFmtId="0" fontId="38" fillId="4" borderId="26" xfId="4" applyFont="1" applyFill="1" applyBorder="1" applyAlignment="1" applyProtection="1">
      <alignment horizontal="left" vertical="center"/>
      <protection locked="0"/>
    </xf>
    <xf numFmtId="0" fontId="15" fillId="0" borderId="28" xfId="0" applyFont="1" applyBorder="1" applyProtection="1">
      <protection locked="0"/>
    </xf>
    <xf numFmtId="0" fontId="15" fillId="0" borderId="27" xfId="0" applyFont="1" applyBorder="1" applyProtection="1">
      <protection locked="0"/>
    </xf>
    <xf numFmtId="0" fontId="15" fillId="4" borderId="26" xfId="0" applyFont="1" applyFill="1" applyBorder="1" applyAlignment="1" applyProtection="1">
      <alignment vertical="center"/>
      <protection locked="0"/>
    </xf>
    <xf numFmtId="0" fontId="15" fillId="4" borderId="28" xfId="0" applyFont="1" applyFill="1" applyBorder="1" applyAlignment="1" applyProtection="1">
      <alignment vertical="center"/>
      <protection locked="0"/>
    </xf>
    <xf numFmtId="0" fontId="15" fillId="4" borderId="27" xfId="0" applyFont="1" applyFill="1" applyBorder="1" applyAlignment="1" applyProtection="1">
      <alignment vertical="center"/>
      <protection locked="0"/>
    </xf>
    <xf numFmtId="0" fontId="26" fillId="11" borderId="0" xfId="0" applyFont="1" applyFill="1" applyAlignment="1" applyProtection="1">
      <alignment horizontal="center" vertical="center" wrapText="1"/>
      <protection hidden="1"/>
    </xf>
    <xf numFmtId="0" fontId="15" fillId="0" borderId="0" xfId="0" applyFont="1"/>
    <xf numFmtId="0" fontId="15" fillId="0" borderId="11" xfId="0" applyFont="1" applyBorder="1"/>
    <xf numFmtId="0" fontId="15" fillId="0" borderId="13" xfId="0" applyFont="1" applyBorder="1" applyAlignment="1" applyProtection="1">
      <alignment horizontal="center"/>
      <protection hidden="1"/>
    </xf>
    <xf numFmtId="0" fontId="15" fillId="0" borderId="0" xfId="0" applyFont="1" applyAlignment="1" applyProtection="1">
      <alignment horizontal="center"/>
      <protection hidden="1"/>
    </xf>
    <xf numFmtId="0" fontId="27" fillId="0" borderId="0" xfId="0" applyFont="1" applyBorder="1" applyAlignment="1" applyProtection="1">
      <alignment horizontal="center"/>
      <protection hidden="1"/>
    </xf>
    <xf numFmtId="0" fontId="27" fillId="13" borderId="0" xfId="0" applyFont="1" applyFill="1" applyBorder="1" applyAlignment="1" applyProtection="1">
      <alignment horizontal="right"/>
      <protection hidden="1"/>
    </xf>
    <xf numFmtId="0" fontId="27" fillId="0" borderId="0" xfId="0" applyFont="1" applyBorder="1" applyAlignment="1" applyProtection="1">
      <alignment horizontal="right"/>
      <protection hidden="1"/>
    </xf>
    <xf numFmtId="0" fontId="32" fillId="6" borderId="66" xfId="1" applyFont="1" applyFill="1" applyBorder="1" applyAlignment="1" applyProtection="1">
      <alignment horizontal="center" vertical="center" wrapText="1"/>
      <protection locked="0"/>
    </xf>
    <xf numFmtId="0" fontId="32" fillId="6" borderId="24" xfId="1" applyFont="1" applyFill="1" applyBorder="1" applyAlignment="1" applyProtection="1">
      <alignment horizontal="center" vertical="center" wrapText="1"/>
      <protection locked="0"/>
    </xf>
    <xf numFmtId="0" fontId="32" fillId="6" borderId="25" xfId="1" applyFont="1" applyFill="1" applyBorder="1" applyAlignment="1" applyProtection="1">
      <alignment horizontal="center" vertical="center" wrapText="1"/>
      <protection locked="0"/>
    </xf>
    <xf numFmtId="0" fontId="32" fillId="6" borderId="23" xfId="1" applyFont="1" applyFill="1" applyBorder="1" applyAlignment="1" applyProtection="1">
      <alignment horizontal="center" vertical="center" wrapText="1"/>
      <protection locked="0"/>
    </xf>
    <xf numFmtId="0" fontId="29" fillId="11" borderId="13" xfId="0" applyFont="1" applyFill="1" applyBorder="1" applyAlignment="1" applyProtection="1">
      <alignment horizontal="center"/>
      <protection hidden="1"/>
    </xf>
    <xf numFmtId="0" fontId="29" fillId="11" borderId="0" xfId="0" applyFont="1" applyFill="1" applyBorder="1" applyAlignment="1" applyProtection="1">
      <alignment horizontal="center"/>
      <protection hidden="1"/>
    </xf>
    <xf numFmtId="0" fontId="29" fillId="11" borderId="14" xfId="0" applyFont="1" applyFill="1" applyBorder="1" applyAlignment="1" applyProtection="1">
      <alignment horizontal="center"/>
      <protection hidden="1"/>
    </xf>
    <xf numFmtId="0" fontId="12" fillId="4" borderId="7" xfId="0" applyFont="1" applyFill="1" applyBorder="1" applyAlignment="1" applyProtection="1">
      <alignment vertical="center" wrapText="1"/>
      <protection locked="0"/>
    </xf>
    <xf numFmtId="0" fontId="12" fillId="4" borderId="8" xfId="0" applyFont="1" applyFill="1" applyBorder="1" applyAlignment="1" applyProtection="1">
      <alignment vertical="center" wrapText="1"/>
      <protection locked="0"/>
    </xf>
    <xf numFmtId="0" fontId="12" fillId="4" borderId="9" xfId="0"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0" xfId="0" applyFont="1" applyFill="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10" xfId="0" applyFont="1" applyFill="1" applyBorder="1" applyAlignment="1" applyProtection="1">
      <alignment vertical="center" wrapText="1"/>
      <protection locked="0"/>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46" fillId="3" borderId="26" xfId="0" applyFont="1" applyFill="1" applyBorder="1" applyAlignment="1" applyProtection="1">
      <alignment horizontal="center" vertical="top" wrapText="1"/>
      <protection hidden="1"/>
    </xf>
    <xf numFmtId="0" fontId="46" fillId="3" borderId="28" xfId="0" applyFont="1" applyFill="1" applyBorder="1" applyAlignment="1" applyProtection="1">
      <alignment horizontal="center" vertical="top" wrapText="1"/>
      <protection hidden="1"/>
    </xf>
    <xf numFmtId="0" fontId="46" fillId="3" borderId="38" xfId="0" applyFont="1" applyFill="1" applyBorder="1" applyAlignment="1" applyProtection="1">
      <alignment horizontal="center" vertical="top" wrapText="1"/>
      <protection hidden="1"/>
    </xf>
    <xf numFmtId="167" fontId="16" fillId="2" borderId="10" xfId="0" applyNumberFormat="1" applyFont="1" applyFill="1" applyBorder="1" applyAlignment="1" applyProtection="1">
      <alignment horizontal="center" vertical="center" wrapText="1"/>
      <protection hidden="1"/>
    </xf>
    <xf numFmtId="167" fontId="16" fillId="2" borderId="11" xfId="0" applyNumberFormat="1" applyFont="1" applyFill="1" applyBorder="1" applyAlignment="1" applyProtection="1">
      <alignment horizontal="center" vertical="center" wrapText="1"/>
      <protection hidden="1"/>
    </xf>
    <xf numFmtId="0" fontId="59" fillId="2" borderId="19" xfId="0" applyFont="1" applyFill="1" applyBorder="1" applyAlignment="1">
      <alignment horizontal="left" vertical="center" wrapText="1"/>
    </xf>
    <xf numFmtId="0" fontId="59" fillId="2" borderId="20" xfId="0" applyFont="1" applyFill="1" applyBorder="1" applyAlignment="1">
      <alignment horizontal="left" vertical="center" wrapText="1"/>
    </xf>
    <xf numFmtId="0" fontId="51" fillId="0" borderId="59" xfId="0" applyFont="1" applyBorder="1" applyAlignment="1" applyProtection="1">
      <alignment horizontal="left" vertical="center"/>
      <protection locked="0"/>
    </xf>
    <xf numFmtId="0" fontId="51" fillId="0" borderId="73" xfId="0" applyFont="1" applyBorder="1" applyAlignment="1" applyProtection="1">
      <alignment horizontal="left" vertical="center"/>
      <protection locked="0"/>
    </xf>
    <xf numFmtId="0" fontId="51" fillId="0" borderId="72" xfId="0" applyFont="1" applyBorder="1" applyAlignment="1" applyProtection="1">
      <alignment horizontal="left" vertical="center"/>
      <protection locked="0"/>
    </xf>
    <xf numFmtId="0" fontId="34" fillId="3" borderId="28" xfId="0" applyFont="1" applyFill="1" applyBorder="1" applyAlignment="1" applyProtection="1">
      <alignment horizontal="left" vertical="center" wrapText="1"/>
      <protection hidden="1"/>
    </xf>
    <xf numFmtId="0" fontId="34" fillId="3" borderId="38" xfId="0" applyFont="1" applyFill="1" applyBorder="1" applyAlignment="1" applyProtection="1">
      <alignment horizontal="left" vertical="center" wrapText="1"/>
      <protection hidden="1"/>
    </xf>
    <xf numFmtId="0" fontId="34" fillId="3" borderId="30" xfId="0" applyFont="1" applyFill="1" applyBorder="1" applyAlignment="1" applyProtection="1">
      <alignment horizontal="left" vertical="center" wrapText="1"/>
      <protection hidden="1"/>
    </xf>
    <xf numFmtId="0" fontId="34" fillId="3" borderId="40" xfId="0" applyFont="1" applyFill="1" applyBorder="1" applyAlignment="1" applyProtection="1">
      <alignment horizontal="left" vertical="center" wrapText="1"/>
      <protection hidden="1"/>
    </xf>
    <xf numFmtId="0" fontId="34" fillId="3" borderId="29" xfId="0" applyFont="1" applyFill="1" applyBorder="1" applyAlignment="1" applyProtection="1">
      <alignment horizontal="left" vertical="center" wrapText="1"/>
      <protection hidden="1"/>
    </xf>
    <xf numFmtId="0" fontId="34" fillId="3" borderId="0" xfId="0" applyFont="1" applyFill="1" applyBorder="1" applyAlignment="1" applyProtection="1">
      <alignment horizontal="left" vertical="center" wrapText="1"/>
      <protection hidden="1"/>
    </xf>
    <xf numFmtId="0" fontId="34" fillId="3" borderId="14" xfId="0" applyFont="1" applyFill="1" applyBorder="1" applyAlignment="1" applyProtection="1">
      <alignment horizontal="left" vertical="center" wrapText="1"/>
      <protection hidden="1"/>
    </xf>
    <xf numFmtId="0" fontId="34" fillId="3" borderId="33" xfId="0" applyFont="1" applyFill="1" applyBorder="1" applyAlignment="1" applyProtection="1">
      <alignment horizontal="left" vertical="center" wrapText="1"/>
      <protection hidden="1"/>
    </xf>
    <xf numFmtId="0" fontId="34" fillId="3" borderId="42" xfId="0" applyFont="1" applyFill="1" applyBorder="1" applyAlignment="1" applyProtection="1">
      <alignment horizontal="left" vertical="center" wrapText="1"/>
      <protection hidden="1"/>
    </xf>
    <xf numFmtId="167" fontId="16" fillId="2" borderId="19" xfId="0" applyNumberFormat="1" applyFont="1" applyFill="1" applyBorder="1" applyAlignment="1" applyProtection="1">
      <alignment horizontal="center" vertical="center" wrapText="1"/>
      <protection hidden="1"/>
    </xf>
    <xf numFmtId="167" fontId="16" fillId="2" borderId="21" xfId="0" applyNumberFormat="1" applyFont="1" applyFill="1" applyBorder="1" applyAlignment="1" applyProtection="1">
      <alignment horizontal="center" vertical="center" wrapText="1"/>
      <protection hidden="1"/>
    </xf>
    <xf numFmtId="0" fontId="58" fillId="0" borderId="0" xfId="0" applyFont="1" applyAlignment="1" applyProtection="1">
      <alignment horizontal="left" vertical="center" wrapText="1"/>
      <protection hidden="1"/>
    </xf>
    <xf numFmtId="0" fontId="58" fillId="0" borderId="11" xfId="0" applyFont="1" applyBorder="1" applyAlignment="1" applyProtection="1">
      <alignment horizontal="left" vertical="center" wrapText="1"/>
      <protection hidden="1"/>
    </xf>
    <xf numFmtId="167" fontId="29" fillId="11" borderId="7" xfId="0" applyNumberFormat="1" applyFont="1" applyFill="1" applyBorder="1" applyAlignment="1" applyProtection="1">
      <alignment horizontal="center" vertical="center" wrapText="1"/>
      <protection hidden="1"/>
    </xf>
    <xf numFmtId="167" fontId="29" fillId="11" borderId="8" xfId="0" applyNumberFormat="1" applyFont="1" applyFill="1" applyBorder="1" applyAlignment="1" applyProtection="1">
      <alignment horizontal="center" vertical="center" wrapText="1"/>
      <protection hidden="1"/>
    </xf>
    <xf numFmtId="167" fontId="29" fillId="11" borderId="9" xfId="0" applyNumberFormat="1" applyFont="1" applyFill="1" applyBorder="1" applyAlignment="1" applyProtection="1">
      <alignment horizontal="center" vertical="center" wrapText="1"/>
      <protection hidden="1"/>
    </xf>
    <xf numFmtId="167" fontId="29" fillId="11" borderId="10" xfId="0" applyNumberFormat="1" applyFont="1" applyFill="1" applyBorder="1" applyAlignment="1" applyProtection="1">
      <alignment horizontal="center" vertical="center" wrapText="1"/>
      <protection hidden="1"/>
    </xf>
    <xf numFmtId="167" fontId="29" fillId="11" borderId="11" xfId="0" applyNumberFormat="1" applyFont="1" applyFill="1" applyBorder="1" applyAlignment="1" applyProtection="1">
      <alignment horizontal="center" vertical="center" wrapText="1"/>
      <protection hidden="1"/>
    </xf>
    <xf numFmtId="167" fontId="29" fillId="11" borderId="12" xfId="0" applyNumberFormat="1" applyFont="1" applyFill="1" applyBorder="1" applyAlignment="1" applyProtection="1">
      <alignment horizontal="center" vertical="center" wrapText="1"/>
      <protection hidden="1"/>
    </xf>
    <xf numFmtId="5" fontId="16" fillId="2" borderId="19" xfId="0" applyNumberFormat="1" applyFont="1" applyFill="1" applyBorder="1" applyAlignment="1" applyProtection="1">
      <alignment horizontal="center" vertical="center" wrapText="1"/>
      <protection hidden="1"/>
    </xf>
    <xf numFmtId="5" fontId="16" fillId="2" borderId="63" xfId="0" applyNumberFormat="1" applyFont="1" applyFill="1" applyBorder="1" applyAlignment="1" applyProtection="1">
      <alignment horizontal="center" vertical="center" wrapText="1"/>
      <protection hidden="1"/>
    </xf>
    <xf numFmtId="0" fontId="55" fillId="2" borderId="19" xfId="0" applyFont="1" applyFill="1" applyBorder="1" applyAlignment="1" applyProtection="1">
      <alignment horizontal="center" vertical="center" wrapText="1"/>
      <protection hidden="1"/>
    </xf>
    <xf numFmtId="0" fontId="55" fillId="2" borderId="21" xfId="0" applyFont="1" applyFill="1" applyBorder="1" applyAlignment="1" applyProtection="1">
      <alignment horizontal="center" vertical="center" wrapText="1"/>
      <protection hidden="1"/>
    </xf>
    <xf numFmtId="0" fontId="35" fillId="6" borderId="37" xfId="0" applyFont="1" applyFill="1" applyBorder="1" applyAlignment="1" applyProtection="1">
      <alignment horizontal="center" vertical="center" wrapText="1"/>
      <protection locked="0"/>
    </xf>
    <xf numFmtId="0" fontId="35" fillId="6" borderId="28" xfId="0" applyFont="1" applyFill="1" applyBorder="1" applyAlignment="1" applyProtection="1">
      <alignment horizontal="center" vertical="center" wrapText="1"/>
      <protection locked="0"/>
    </xf>
    <xf numFmtId="0" fontId="35" fillId="6" borderId="27" xfId="0" applyFont="1" applyFill="1" applyBorder="1" applyAlignment="1" applyProtection="1">
      <alignment horizontal="center" vertical="center" wrapText="1"/>
      <protection locked="0"/>
    </xf>
    <xf numFmtId="0" fontId="40" fillId="6" borderId="37" xfId="0" applyFont="1" applyFill="1" applyBorder="1" applyAlignment="1" applyProtection="1">
      <alignment horizontal="center" vertical="center" wrapText="1"/>
      <protection locked="0"/>
    </xf>
    <xf numFmtId="0" fontId="40" fillId="6" borderId="28" xfId="0" applyFont="1" applyFill="1" applyBorder="1" applyAlignment="1" applyProtection="1">
      <alignment horizontal="center" vertical="center" wrapText="1"/>
      <protection locked="0"/>
    </xf>
    <xf numFmtId="0" fontId="40" fillId="6" borderId="27" xfId="0" applyFont="1" applyFill="1" applyBorder="1" applyAlignment="1" applyProtection="1">
      <alignment horizontal="center" vertical="center" wrapText="1"/>
      <protection locked="0"/>
    </xf>
    <xf numFmtId="0" fontId="51" fillId="0" borderId="26" xfId="0" applyFont="1" applyBorder="1" applyAlignment="1" applyProtection="1">
      <alignment horizontal="left" vertical="center"/>
      <protection locked="0"/>
    </xf>
    <xf numFmtId="0" fontId="51" fillId="0" borderId="28" xfId="0" applyFont="1" applyBorder="1" applyAlignment="1" applyProtection="1">
      <alignment horizontal="left" vertical="center"/>
      <protection locked="0"/>
    </xf>
    <xf numFmtId="0" fontId="51" fillId="0" borderId="38" xfId="0" applyFont="1" applyBorder="1" applyAlignment="1" applyProtection="1">
      <alignment horizontal="left" vertical="center"/>
      <protection locked="0"/>
    </xf>
    <xf numFmtId="0" fontId="55" fillId="2" borderId="19" xfId="0" applyFont="1" applyFill="1" applyBorder="1" applyAlignment="1">
      <alignment horizontal="center" vertical="center" wrapText="1"/>
    </xf>
    <xf numFmtId="0" fontId="55" fillId="2" borderId="20" xfId="0" applyFont="1" applyFill="1" applyBorder="1" applyAlignment="1">
      <alignment horizontal="center" vertical="center" wrapText="1"/>
    </xf>
    <xf numFmtId="0" fontId="55" fillId="2" borderId="21" xfId="0" applyFont="1" applyFill="1" applyBorder="1" applyAlignment="1">
      <alignment horizontal="center" vertical="center" wrapText="1"/>
    </xf>
    <xf numFmtId="2" fontId="29" fillId="11" borderId="7" xfId="0" applyNumberFormat="1" applyFont="1" applyFill="1" applyBorder="1" applyAlignment="1" applyProtection="1">
      <alignment horizontal="center" vertical="center" wrapText="1"/>
      <protection hidden="1"/>
    </xf>
    <xf numFmtId="0" fontId="29" fillId="11" borderId="8" xfId="0" applyFont="1" applyFill="1" applyBorder="1" applyAlignment="1" applyProtection="1">
      <alignment horizontal="center" vertical="center" wrapText="1"/>
      <protection hidden="1"/>
    </xf>
    <xf numFmtId="0" fontId="28" fillId="11" borderId="8" xfId="0" applyFont="1" applyFill="1" applyBorder="1" applyAlignment="1" applyProtection="1">
      <alignment wrapText="1"/>
      <protection hidden="1"/>
    </xf>
    <xf numFmtId="0" fontId="29" fillId="11" borderId="10" xfId="0" applyFont="1" applyFill="1" applyBorder="1" applyAlignment="1" applyProtection="1">
      <alignment horizontal="center" vertical="center" wrapText="1"/>
      <protection hidden="1"/>
    </xf>
    <xf numFmtId="0" fontId="29" fillId="11" borderId="11" xfId="0" applyFont="1" applyFill="1" applyBorder="1" applyAlignment="1" applyProtection="1">
      <alignment horizontal="center" vertical="center" wrapText="1"/>
      <protection hidden="1"/>
    </xf>
    <xf numFmtId="0" fontId="28" fillId="11" borderId="11" xfId="0" applyFont="1" applyFill="1" applyBorder="1" applyAlignment="1" applyProtection="1">
      <alignment wrapText="1"/>
      <protection hidden="1"/>
    </xf>
    <xf numFmtId="0" fontId="39" fillId="0" borderId="31" xfId="0" applyFont="1" applyBorder="1" applyAlignment="1" applyProtection="1">
      <alignment horizontal="left" vertical="top" wrapText="1"/>
      <protection hidden="1"/>
    </xf>
    <xf numFmtId="0" fontId="39" fillId="0" borderId="40" xfId="0" applyFont="1" applyBorder="1" applyAlignment="1" applyProtection="1">
      <alignment horizontal="left" vertical="top" wrapText="1"/>
      <protection hidden="1"/>
    </xf>
    <xf numFmtId="167" fontId="16" fillId="2" borderId="20" xfId="0" applyNumberFormat="1" applyFont="1" applyFill="1" applyBorder="1" applyAlignment="1" applyProtection="1">
      <alignment horizontal="center" vertical="center" wrapText="1"/>
      <protection hidden="1"/>
    </xf>
    <xf numFmtId="0" fontId="29" fillId="11" borderId="7" xfId="0" applyFont="1" applyFill="1" applyBorder="1" applyAlignment="1" applyProtection="1">
      <alignment horizontal="left" vertical="center" wrapText="1"/>
      <protection hidden="1"/>
    </xf>
    <xf numFmtId="0" fontId="29" fillId="11" borderId="8" xfId="0" applyFont="1" applyFill="1" applyBorder="1" applyAlignment="1" applyProtection="1">
      <alignment horizontal="left" vertical="center" wrapText="1"/>
      <protection hidden="1"/>
    </xf>
    <xf numFmtId="0" fontId="29" fillId="11" borderId="9" xfId="0" applyFont="1" applyFill="1" applyBorder="1" applyAlignment="1" applyProtection="1">
      <alignment horizontal="left" vertical="center" wrapText="1"/>
      <protection hidden="1"/>
    </xf>
    <xf numFmtId="0" fontId="29" fillId="11" borderId="10" xfId="0" applyFont="1" applyFill="1" applyBorder="1" applyAlignment="1" applyProtection="1">
      <alignment horizontal="left" vertical="center" wrapText="1"/>
      <protection hidden="1"/>
    </xf>
    <xf numFmtId="0" fontId="29" fillId="11" borderId="11" xfId="0" applyFont="1" applyFill="1" applyBorder="1" applyAlignment="1" applyProtection="1">
      <alignment horizontal="left" vertical="center" wrapText="1"/>
      <protection hidden="1"/>
    </xf>
    <xf numFmtId="0" fontId="29" fillId="11" borderId="12" xfId="0" applyFont="1" applyFill="1" applyBorder="1" applyAlignment="1" applyProtection="1">
      <alignment horizontal="left" vertical="center" wrapText="1"/>
      <protection hidden="1"/>
    </xf>
    <xf numFmtId="0" fontId="36" fillId="0" borderId="0" xfId="0" applyFont="1" applyAlignment="1">
      <alignment horizontal="left" vertical="top"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48" fillId="11" borderId="8" xfId="0" applyFont="1" applyFill="1" applyBorder="1" applyAlignment="1" applyProtection="1">
      <alignment horizontal="center" vertical="center" wrapText="1"/>
      <protection hidden="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2" xfId="0" applyFont="1" applyBorder="1" applyAlignment="1">
      <alignment horizontal="center" vertical="center" wrapText="1"/>
    </xf>
    <xf numFmtId="5" fontId="16" fillId="2" borderId="20" xfId="0" applyNumberFormat="1" applyFont="1" applyFill="1" applyBorder="1" applyAlignment="1" applyProtection="1">
      <alignment horizontal="center" vertical="center" wrapText="1"/>
      <protection hidden="1"/>
    </xf>
    <xf numFmtId="0" fontId="29" fillId="11" borderId="8" xfId="0" applyFont="1" applyFill="1" applyBorder="1" applyAlignment="1" applyProtection="1">
      <alignment horizontal="left" vertical="top" wrapText="1"/>
      <protection hidden="1"/>
    </xf>
    <xf numFmtId="44" fontId="35" fillId="7" borderId="26" xfId="0" applyNumberFormat="1" applyFont="1" applyFill="1" applyBorder="1" applyProtection="1">
      <protection hidden="1"/>
    </xf>
    <xf numFmtId="44" fontId="35" fillId="7" borderId="38" xfId="0" applyNumberFormat="1" applyFont="1" applyFill="1" applyBorder="1" applyProtection="1">
      <protection hidden="1"/>
    </xf>
    <xf numFmtId="44" fontId="35" fillId="7" borderId="48" xfId="0" applyNumberFormat="1" applyFont="1" applyFill="1" applyBorder="1" applyProtection="1">
      <protection hidden="1"/>
    </xf>
    <xf numFmtId="44" fontId="35" fillId="7" borderId="75" xfId="0" applyNumberFormat="1" applyFont="1" applyFill="1" applyBorder="1" applyProtection="1">
      <protection hidden="1"/>
    </xf>
    <xf numFmtId="44" fontId="35" fillId="16" borderId="41" xfId="0" applyNumberFormat="1" applyFont="1" applyFill="1" applyBorder="1" applyProtection="1">
      <protection hidden="1"/>
    </xf>
    <xf numFmtId="44" fontId="35" fillId="16" borderId="42" xfId="0" applyNumberFormat="1" applyFont="1" applyFill="1" applyBorder="1" applyProtection="1">
      <protection hidden="1"/>
    </xf>
    <xf numFmtId="167" fontId="16" fillId="2" borderId="10" xfId="0" applyNumberFormat="1" applyFont="1" applyFill="1" applyBorder="1" applyAlignment="1" applyProtection="1">
      <alignment horizontal="left" vertical="center" wrapText="1"/>
      <protection hidden="1"/>
    </xf>
    <xf numFmtId="167" fontId="16" fillId="2" borderId="11" xfId="0" applyNumberFormat="1" applyFont="1" applyFill="1" applyBorder="1" applyAlignment="1" applyProtection="1">
      <alignment horizontal="left" vertical="center" wrapText="1"/>
      <protection hidden="1"/>
    </xf>
    <xf numFmtId="0" fontId="29" fillId="11" borderId="7" xfId="0" applyFont="1" applyFill="1" applyBorder="1" applyAlignment="1">
      <alignment horizontal="left" vertical="center" wrapText="1"/>
    </xf>
    <xf numFmtId="0" fontId="29" fillId="11" borderId="8" xfId="0" applyFont="1" applyFill="1" applyBorder="1" applyAlignment="1">
      <alignment horizontal="left" vertical="center" wrapText="1"/>
    </xf>
    <xf numFmtId="0" fontId="29" fillId="11" borderId="9" xfId="0" applyFont="1" applyFill="1" applyBorder="1" applyAlignment="1">
      <alignment horizontal="left" vertical="center" wrapText="1"/>
    </xf>
    <xf numFmtId="0" fontId="29" fillId="11" borderId="10" xfId="0" applyFont="1" applyFill="1" applyBorder="1" applyAlignment="1">
      <alignment horizontal="left" vertical="center" wrapText="1"/>
    </xf>
    <xf numFmtId="0" fontId="29" fillId="11" borderId="11" xfId="0" applyFont="1" applyFill="1" applyBorder="1" applyAlignment="1">
      <alignment horizontal="left" vertical="center" wrapText="1"/>
    </xf>
    <xf numFmtId="0" fontId="29" fillId="11" borderId="12" xfId="0" applyFont="1" applyFill="1" applyBorder="1" applyAlignment="1">
      <alignment horizontal="left" vertical="center" wrapText="1"/>
    </xf>
    <xf numFmtId="167" fontId="16" fillId="3" borderId="1" xfId="0" applyNumberFormat="1" applyFont="1" applyFill="1" applyBorder="1" applyAlignment="1" applyProtection="1">
      <alignment horizontal="left" vertical="center"/>
      <protection hidden="1"/>
    </xf>
    <xf numFmtId="0" fontId="15" fillId="0" borderId="2" xfId="0" applyFont="1" applyBorder="1"/>
    <xf numFmtId="44" fontId="35" fillId="3" borderId="59" xfId="0" applyNumberFormat="1" applyFont="1" applyFill="1" applyBorder="1" applyProtection="1">
      <protection hidden="1"/>
    </xf>
    <xf numFmtId="44" fontId="35" fillId="3" borderId="72" xfId="0" applyNumberFormat="1" applyFont="1" applyFill="1" applyBorder="1" applyProtection="1">
      <protection hidden="1"/>
    </xf>
    <xf numFmtId="0" fontId="65" fillId="0" borderId="28" xfId="0" applyFont="1" applyBorder="1" applyAlignment="1">
      <alignment horizontal="left"/>
    </xf>
    <xf numFmtId="0" fontId="65" fillId="0" borderId="38" xfId="0" applyFont="1" applyBorder="1" applyAlignment="1">
      <alignment horizontal="left"/>
    </xf>
    <xf numFmtId="167" fontId="60" fillId="14" borderId="10" xfId="0" applyNumberFormat="1" applyFont="1" applyFill="1" applyBorder="1" applyAlignment="1" applyProtection="1">
      <alignment horizontal="left" vertical="center" wrapText="1"/>
      <protection hidden="1"/>
    </xf>
    <xf numFmtId="0" fontId="15" fillId="14" borderId="11" xfId="0" applyFont="1" applyFill="1" applyBorder="1"/>
    <xf numFmtId="0" fontId="15" fillId="14" borderId="12" xfId="0" applyFont="1" applyFill="1" applyBorder="1"/>
    <xf numFmtId="167" fontId="16" fillId="7" borderId="1" xfId="0" applyNumberFormat="1" applyFont="1" applyFill="1" applyBorder="1" applyAlignment="1" applyProtection="1">
      <alignment horizontal="left" vertical="center"/>
      <protection hidden="1"/>
    </xf>
    <xf numFmtId="0" fontId="15" fillId="7" borderId="2" xfId="0" applyFont="1" applyFill="1" applyBorder="1"/>
    <xf numFmtId="167" fontId="16" fillId="7" borderId="4" xfId="0" applyNumberFormat="1" applyFont="1" applyFill="1" applyBorder="1" applyAlignment="1" applyProtection="1">
      <alignment horizontal="left" vertical="center"/>
      <protection hidden="1"/>
    </xf>
    <xf numFmtId="0" fontId="15" fillId="7" borderId="5" xfId="0" applyFont="1" applyFill="1" applyBorder="1"/>
    <xf numFmtId="167" fontId="16" fillId="16" borderId="16" xfId="0" applyNumberFormat="1" applyFont="1" applyFill="1" applyBorder="1" applyAlignment="1" applyProtection="1">
      <alignment horizontal="left" vertical="center" wrapText="1"/>
      <protection hidden="1"/>
    </xf>
    <xf numFmtId="0" fontId="15" fillId="16" borderId="15" xfId="0" applyFont="1" applyFill="1" applyBorder="1"/>
    <xf numFmtId="0" fontId="15" fillId="16" borderId="33" xfId="0" applyFont="1" applyFill="1" applyBorder="1"/>
    <xf numFmtId="167" fontId="16" fillId="16" borderId="1" xfId="0" applyNumberFormat="1" applyFont="1" applyFill="1" applyBorder="1" applyAlignment="1" applyProtection="1">
      <alignment horizontal="left" vertical="center" wrapText="1"/>
      <protection hidden="1"/>
    </xf>
    <xf numFmtId="0" fontId="15" fillId="16" borderId="2" xfId="0" applyFont="1" applyFill="1" applyBorder="1"/>
    <xf numFmtId="0" fontId="65" fillId="0" borderId="26" xfId="0" applyFont="1" applyBorder="1"/>
    <xf numFmtId="0" fontId="15" fillId="0" borderId="28" xfId="0" applyFont="1" applyBorder="1"/>
    <xf numFmtId="0" fontId="15" fillId="0" borderId="38" xfId="0" applyFont="1" applyBorder="1"/>
    <xf numFmtId="49" fontId="17" fillId="0" borderId="7" xfId="0" applyNumberFormat="1" applyFont="1" applyBorder="1" applyAlignment="1" applyProtection="1">
      <alignment wrapText="1"/>
      <protection locked="0"/>
    </xf>
    <xf numFmtId="49" fontId="17" fillId="0" borderId="8" xfId="0" applyNumberFormat="1" applyFont="1" applyBorder="1" applyAlignment="1" applyProtection="1">
      <alignment wrapText="1"/>
      <protection locked="0"/>
    </xf>
    <xf numFmtId="49" fontId="17" fillId="0" borderId="9" xfId="0" applyNumberFormat="1" applyFont="1" applyBorder="1" applyAlignment="1" applyProtection="1">
      <alignment wrapText="1"/>
      <protection locked="0"/>
    </xf>
    <xf numFmtId="49" fontId="17" fillId="0" borderId="13" xfId="0" applyNumberFormat="1" applyFont="1" applyBorder="1" applyAlignment="1" applyProtection="1">
      <alignment wrapText="1"/>
      <protection locked="0"/>
    </xf>
    <xf numFmtId="49" fontId="17" fillId="0" borderId="0" xfId="0" applyNumberFormat="1" applyFont="1" applyAlignment="1" applyProtection="1">
      <alignment wrapText="1"/>
      <protection locked="0"/>
    </xf>
    <xf numFmtId="49" fontId="17" fillId="0" borderId="14" xfId="0" applyNumberFormat="1" applyFont="1" applyBorder="1" applyAlignment="1" applyProtection="1">
      <alignment wrapText="1"/>
      <protection locked="0"/>
    </xf>
    <xf numFmtId="49" fontId="17" fillId="0" borderId="10" xfId="0" applyNumberFormat="1" applyFont="1" applyBorder="1" applyAlignment="1" applyProtection="1">
      <alignment wrapText="1"/>
      <protection locked="0"/>
    </xf>
    <xf numFmtId="49" fontId="17" fillId="0" borderId="11" xfId="0" applyNumberFormat="1" applyFont="1" applyBorder="1" applyAlignment="1" applyProtection="1">
      <alignment wrapText="1"/>
      <protection locked="0"/>
    </xf>
    <xf numFmtId="49" fontId="17" fillId="0" borderId="12" xfId="0" applyNumberFormat="1" applyFont="1" applyBorder="1" applyAlignment="1" applyProtection="1">
      <alignment wrapText="1"/>
      <protection locked="0"/>
    </xf>
    <xf numFmtId="0" fontId="63" fillId="11" borderId="13" xfId="0" applyFont="1" applyFill="1" applyBorder="1" applyAlignment="1" applyProtection="1">
      <alignment horizontal="left" vertical="top" wrapText="1"/>
      <protection hidden="1"/>
    </xf>
    <xf numFmtId="0" fontId="63" fillId="11" borderId="0" xfId="0" applyFont="1" applyFill="1" applyAlignment="1" applyProtection="1">
      <alignment horizontal="left" vertical="top" wrapText="1"/>
      <protection hidden="1"/>
    </xf>
    <xf numFmtId="0" fontId="63" fillId="11" borderId="14" xfId="0" applyFont="1" applyFill="1" applyBorder="1" applyAlignment="1" applyProtection="1">
      <alignment horizontal="left" vertical="top" wrapText="1"/>
      <protection hidden="1"/>
    </xf>
    <xf numFmtId="0" fontId="63" fillId="11" borderId="10" xfId="0" applyFont="1" applyFill="1" applyBorder="1" applyAlignment="1" applyProtection="1">
      <alignment horizontal="left" vertical="top" wrapText="1"/>
      <protection hidden="1"/>
    </xf>
    <xf numFmtId="0" fontId="63" fillId="11" borderId="11" xfId="0" applyFont="1" applyFill="1" applyBorder="1" applyAlignment="1" applyProtection="1">
      <alignment horizontal="left" vertical="top" wrapText="1"/>
      <protection hidden="1"/>
    </xf>
    <xf numFmtId="0" fontId="63" fillId="11" borderId="12" xfId="0" applyFont="1" applyFill="1" applyBorder="1" applyAlignment="1" applyProtection="1">
      <alignment horizontal="left" vertical="top" wrapText="1"/>
      <protection hidden="1"/>
    </xf>
    <xf numFmtId="44" fontId="61" fillId="14" borderId="22" xfId="0" applyNumberFormat="1" applyFont="1" applyFill="1" applyBorder="1" applyProtection="1">
      <protection hidden="1"/>
    </xf>
    <xf numFmtId="44" fontId="35" fillId="3" borderId="26" xfId="0" applyNumberFormat="1" applyFont="1" applyFill="1" applyBorder="1" applyProtection="1">
      <protection hidden="1"/>
    </xf>
    <xf numFmtId="44" fontId="35" fillId="3" borderId="38" xfId="0" applyNumberFormat="1" applyFont="1" applyFill="1" applyBorder="1" applyProtection="1">
      <protection hidden="1"/>
    </xf>
    <xf numFmtId="44" fontId="35" fillId="16" borderId="33" xfId="0" applyNumberFormat="1" applyFont="1" applyFill="1" applyBorder="1" applyProtection="1">
      <protection hidden="1"/>
    </xf>
    <xf numFmtId="0" fontId="65" fillId="0" borderId="48" xfId="0" applyFont="1" applyBorder="1"/>
    <xf numFmtId="0" fontId="15" fillId="0" borderId="49" xfId="0" applyFont="1" applyBorder="1"/>
    <xf numFmtId="0" fontId="15" fillId="0" borderId="75" xfId="0" applyFont="1" applyBorder="1"/>
    <xf numFmtId="0" fontId="44" fillId="7" borderId="7" xfId="0" applyFont="1" applyFill="1" applyBorder="1" applyAlignment="1" applyProtection="1">
      <alignment horizontal="center" vertical="top" wrapText="1"/>
      <protection hidden="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13" xfId="0" applyFont="1" applyBorder="1" applyAlignment="1">
      <alignment horizontal="center" vertical="top" wrapText="1"/>
    </xf>
    <xf numFmtId="0" fontId="15" fillId="0" borderId="0" xfId="0" applyFont="1" applyAlignment="1">
      <alignment horizontal="center" vertical="top" wrapText="1"/>
    </xf>
    <xf numFmtId="0" fontId="15" fillId="0" borderId="14"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15" fillId="0" borderId="12" xfId="0" applyFont="1" applyBorder="1" applyAlignment="1">
      <alignment horizontal="center" vertical="top" wrapText="1"/>
    </xf>
    <xf numFmtId="0" fontId="51" fillId="0" borderId="48" xfId="0" applyFont="1" applyBorder="1" applyAlignment="1" applyProtection="1">
      <alignment horizontal="left" vertical="center"/>
      <protection locked="0"/>
    </xf>
    <xf numFmtId="0" fontId="51" fillId="0" borderId="49" xfId="0" applyFont="1" applyBorder="1" applyAlignment="1" applyProtection="1">
      <alignment horizontal="left" vertical="center"/>
      <protection locked="0"/>
    </xf>
    <xf numFmtId="0" fontId="51" fillId="0" borderId="75" xfId="0" applyFont="1" applyBorder="1" applyAlignment="1" applyProtection="1">
      <alignment horizontal="left" vertical="center"/>
      <protection locked="0"/>
    </xf>
    <xf numFmtId="0" fontId="62" fillId="11" borderId="68" xfId="0" applyFont="1" applyFill="1" applyBorder="1" applyAlignment="1" applyProtection="1">
      <alignment horizontal="left" vertical="top" wrapText="1"/>
      <protection hidden="1"/>
    </xf>
    <xf numFmtId="0" fontId="62" fillId="11" borderId="73" xfId="0" applyFont="1" applyFill="1" applyBorder="1" applyAlignment="1" applyProtection="1">
      <alignment horizontal="left" vertical="top" wrapText="1"/>
      <protection hidden="1"/>
    </xf>
    <xf numFmtId="0" fontId="62" fillId="11" borderId="72" xfId="0" applyFont="1" applyFill="1" applyBorder="1" applyAlignment="1" applyProtection="1">
      <alignment horizontal="left" vertical="top" wrapText="1"/>
      <protection hidden="1"/>
    </xf>
    <xf numFmtId="0" fontId="15" fillId="0" borderId="8" xfId="0" applyFont="1" applyBorder="1"/>
    <xf numFmtId="0" fontId="15" fillId="0" borderId="9" xfId="0" applyFont="1" applyBorder="1"/>
    <xf numFmtId="0" fontId="15" fillId="0" borderId="13" xfId="0" applyFont="1" applyBorder="1"/>
    <xf numFmtId="0" fontId="15" fillId="0" borderId="14" xfId="0" applyFont="1" applyBorder="1"/>
    <xf numFmtId="44" fontId="35" fillId="3" borderId="2" xfId="0" applyNumberFormat="1" applyFont="1" applyFill="1" applyBorder="1" applyProtection="1">
      <protection hidden="1"/>
    </xf>
    <xf numFmtId="44" fontId="35" fillId="3" borderId="3" xfId="0" applyNumberFormat="1" applyFont="1" applyFill="1" applyBorder="1" applyProtection="1">
      <protection hidden="1"/>
    </xf>
    <xf numFmtId="44" fontId="35" fillId="17" borderId="2" xfId="0" applyNumberFormat="1" applyFont="1" applyFill="1" applyBorder="1" applyProtection="1">
      <protection hidden="1"/>
    </xf>
    <xf numFmtId="44" fontId="35" fillId="17" borderId="3" xfId="0" applyNumberFormat="1" applyFont="1" applyFill="1" applyBorder="1" applyProtection="1">
      <protection hidden="1"/>
    </xf>
    <xf numFmtId="44" fontId="61" fillId="8" borderId="5" xfId="0" applyNumberFormat="1" applyFont="1" applyFill="1" applyBorder="1" applyProtection="1">
      <protection hidden="1"/>
    </xf>
    <xf numFmtId="44" fontId="61" fillId="8" borderId="6" xfId="0" applyNumberFormat="1" applyFont="1" applyFill="1" applyBorder="1" applyProtection="1">
      <protection hidden="1"/>
    </xf>
    <xf numFmtId="167" fontId="35" fillId="12" borderId="4" xfId="0" applyNumberFormat="1" applyFont="1" applyFill="1" applyBorder="1" applyAlignment="1" applyProtection="1">
      <alignment horizontal="left" vertical="center" wrapText="1"/>
      <protection hidden="1"/>
    </xf>
    <xf numFmtId="0" fontId="15" fillId="0" borderId="5" xfId="0" applyFont="1" applyBorder="1"/>
    <xf numFmtId="0" fontId="15" fillId="17" borderId="1" xfId="0" applyFont="1" applyFill="1" applyBorder="1"/>
    <xf numFmtId="0" fontId="15" fillId="17" borderId="2" xfId="0" applyFont="1" applyFill="1" applyBorder="1"/>
    <xf numFmtId="167" fontId="71" fillId="2" borderId="10" xfId="0" applyNumberFormat="1" applyFont="1" applyFill="1" applyBorder="1" applyAlignment="1" applyProtection="1">
      <alignment horizontal="left" vertical="center" wrapText="1"/>
      <protection hidden="1"/>
    </xf>
    <xf numFmtId="167" fontId="71" fillId="2" borderId="11" xfId="0" applyNumberFormat="1" applyFont="1" applyFill="1" applyBorder="1" applyAlignment="1" applyProtection="1">
      <alignment horizontal="left" vertical="center" wrapText="1"/>
      <protection hidden="1"/>
    </xf>
    <xf numFmtId="167" fontId="29" fillId="11" borderId="62" xfId="0" applyNumberFormat="1" applyFont="1" applyFill="1" applyBorder="1" applyAlignment="1" applyProtection="1">
      <alignment horizontal="center" vertical="center" wrapText="1"/>
      <protection hidden="1"/>
    </xf>
    <xf numFmtId="0" fontId="15" fillId="0" borderId="57" xfId="0" applyFont="1" applyBorder="1"/>
    <xf numFmtId="0" fontId="15" fillId="0" borderId="61" xfId="0" applyFont="1" applyBorder="1"/>
    <xf numFmtId="0" fontId="15" fillId="0" borderId="1" xfId="0" applyFont="1" applyBorder="1"/>
    <xf numFmtId="0" fontId="15" fillId="0" borderId="3" xfId="0" applyFont="1" applyBorder="1"/>
    <xf numFmtId="167" fontId="71" fillId="2" borderId="19" xfId="0" applyNumberFormat="1" applyFont="1" applyFill="1" applyBorder="1" applyAlignment="1" applyProtection="1">
      <alignment horizontal="center" vertical="center" wrapText="1"/>
      <protection hidden="1"/>
    </xf>
    <xf numFmtId="167" fontId="71" fillId="2" borderId="20" xfId="0" applyNumberFormat="1" applyFont="1" applyFill="1" applyBorder="1" applyAlignment="1" applyProtection="1">
      <alignment horizontal="center" vertical="center" wrapText="1"/>
      <protection hidden="1"/>
    </xf>
    <xf numFmtId="167" fontId="71" fillId="2" borderId="10" xfId="0" applyNumberFormat="1" applyFont="1" applyFill="1" applyBorder="1" applyAlignment="1" applyProtection="1">
      <alignment horizontal="center" vertical="center" wrapText="1"/>
      <protection hidden="1"/>
    </xf>
    <xf numFmtId="167" fontId="71" fillId="2" borderId="11" xfId="0" applyNumberFormat="1" applyFont="1" applyFill="1" applyBorder="1" applyAlignment="1" applyProtection="1">
      <alignment horizontal="center" vertical="center" wrapText="1"/>
      <protection hidden="1"/>
    </xf>
    <xf numFmtId="5" fontId="71" fillId="2" borderId="19" xfId="0" applyNumberFormat="1" applyFont="1" applyFill="1" applyBorder="1" applyAlignment="1" applyProtection="1">
      <alignment horizontal="center" vertical="center" wrapText="1"/>
      <protection hidden="1"/>
    </xf>
    <xf numFmtId="5" fontId="71" fillId="2" borderId="20" xfId="0" applyNumberFormat="1" applyFont="1" applyFill="1" applyBorder="1" applyAlignment="1" applyProtection="1">
      <alignment horizontal="center" vertical="center" wrapText="1"/>
      <protection hidden="1"/>
    </xf>
    <xf numFmtId="5" fontId="71" fillId="2" borderId="63" xfId="0" applyNumberFormat="1" applyFont="1" applyFill="1" applyBorder="1" applyAlignment="1" applyProtection="1">
      <alignment horizontal="center" vertical="center" wrapText="1"/>
      <protection hidden="1"/>
    </xf>
    <xf numFmtId="167" fontId="29" fillId="11" borderId="13" xfId="0" applyNumberFormat="1" applyFont="1" applyFill="1" applyBorder="1" applyAlignment="1" applyProtection="1">
      <alignment horizontal="center" vertical="center" wrapText="1"/>
      <protection hidden="1"/>
    </xf>
    <xf numFmtId="167" fontId="29" fillId="11" borderId="0" xfId="0" applyNumberFormat="1" applyFont="1" applyFill="1" applyBorder="1" applyAlignment="1" applyProtection="1">
      <alignment horizontal="center" vertical="center" wrapText="1"/>
      <protection hidden="1"/>
    </xf>
    <xf numFmtId="0" fontId="15" fillId="4" borderId="26" xfId="0" applyFont="1" applyFill="1" applyBorder="1" applyAlignment="1">
      <alignment vertical="center"/>
    </xf>
    <xf numFmtId="0" fontId="15" fillId="4" borderId="28" xfId="0" applyFont="1" applyFill="1" applyBorder="1" applyAlignment="1">
      <alignment vertical="center"/>
    </xf>
    <xf numFmtId="0" fontId="15" fillId="4" borderId="27" xfId="0" applyFont="1" applyFill="1" applyBorder="1" applyAlignment="1">
      <alignment vertical="center"/>
    </xf>
    <xf numFmtId="0" fontId="15" fillId="4" borderId="26" xfId="0" applyFont="1" applyFill="1" applyBorder="1" applyAlignment="1">
      <alignment horizontal="left" vertical="center"/>
    </xf>
    <xf numFmtId="0" fontId="15" fillId="4" borderId="28" xfId="0" applyFont="1" applyFill="1" applyBorder="1" applyAlignment="1">
      <alignment horizontal="left" vertical="center"/>
    </xf>
    <xf numFmtId="0" fontId="12" fillId="4" borderId="7"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12" fillId="4" borderId="13" xfId="0" applyFont="1" applyFill="1" applyBorder="1" applyAlignment="1">
      <alignment vertical="center" wrapText="1"/>
    </xf>
    <xf numFmtId="0" fontId="12" fillId="4" borderId="0" xfId="0" applyFont="1" applyFill="1" applyAlignment="1">
      <alignment vertical="center" wrapText="1"/>
    </xf>
    <xf numFmtId="0" fontId="12" fillId="4" borderId="14" xfId="0" applyFont="1" applyFill="1" applyBorder="1" applyAlignment="1">
      <alignment vertical="center" wrapText="1"/>
    </xf>
    <xf numFmtId="0" fontId="12" fillId="4" borderId="10" xfId="0" applyFont="1" applyFill="1" applyBorder="1" applyAlignment="1">
      <alignment vertical="center" wrapText="1"/>
    </xf>
    <xf numFmtId="0" fontId="12" fillId="4" borderId="11" xfId="0" applyFont="1" applyFill="1" applyBorder="1" applyAlignment="1">
      <alignment vertical="center" wrapText="1"/>
    </xf>
    <xf numFmtId="0" fontId="12" fillId="4" borderId="12" xfId="0" applyFont="1" applyFill="1" applyBorder="1" applyAlignment="1">
      <alignment vertical="center" wrapText="1"/>
    </xf>
    <xf numFmtId="0" fontId="32" fillId="6" borderId="67" xfId="1" applyFont="1" applyFill="1" applyBorder="1" applyAlignment="1" applyProtection="1">
      <alignment horizontal="center" vertical="center" wrapText="1"/>
      <protection locked="0"/>
    </xf>
    <xf numFmtId="0" fontId="29" fillId="11" borderId="20" xfId="0" applyFont="1" applyFill="1" applyBorder="1" applyAlignment="1" applyProtection="1">
      <alignment horizontal="right"/>
      <protection hidden="1"/>
    </xf>
    <xf numFmtId="0" fontId="51" fillId="0" borderId="26" xfId="0" applyFont="1" applyBorder="1" applyProtection="1">
      <protection locked="0"/>
    </xf>
    <xf numFmtId="0" fontId="51" fillId="0" borderId="28" xfId="0" applyFont="1" applyBorder="1" applyProtection="1">
      <protection locked="0"/>
    </xf>
    <xf numFmtId="0" fontId="51" fillId="0" borderId="27" xfId="0" applyFont="1" applyBorder="1" applyProtection="1">
      <protection locked="0"/>
    </xf>
    <xf numFmtId="167" fontId="13" fillId="4" borderId="26" xfId="0" applyNumberFormat="1" applyFont="1" applyFill="1" applyBorder="1" applyAlignment="1" applyProtection="1">
      <alignment horizontal="right" vertical="center"/>
      <protection locked="0"/>
    </xf>
    <xf numFmtId="167" fontId="13" fillId="4" borderId="38" xfId="0" applyNumberFormat="1" applyFont="1" applyFill="1" applyBorder="1" applyAlignment="1" applyProtection="1">
      <alignment horizontal="right" vertical="center"/>
      <protection locked="0"/>
    </xf>
    <xf numFmtId="0" fontId="17" fillId="2" borderId="74" xfId="0" applyFont="1" applyFill="1" applyBorder="1" applyAlignment="1" applyProtection="1">
      <alignment horizontal="left" vertical="center"/>
      <protection hidden="1"/>
    </xf>
    <xf numFmtId="0" fontId="17" fillId="2" borderId="49" xfId="0" applyFont="1" applyFill="1" applyBorder="1" applyAlignment="1" applyProtection="1">
      <alignment horizontal="left" vertical="center"/>
      <protection hidden="1"/>
    </xf>
    <xf numFmtId="0" fontId="17" fillId="2" borderId="75" xfId="0" applyFont="1" applyFill="1" applyBorder="1" applyAlignment="1" applyProtection="1">
      <alignment horizontal="left" vertical="center"/>
      <protection hidden="1"/>
    </xf>
    <xf numFmtId="0" fontId="51" fillId="0" borderId="48" xfId="0" applyFont="1" applyBorder="1" applyProtection="1">
      <protection locked="0"/>
    </xf>
    <xf numFmtId="0" fontId="51" fillId="0" borderId="49" xfId="0" applyFont="1" applyBorder="1" applyProtection="1">
      <protection locked="0"/>
    </xf>
    <xf numFmtId="0" fontId="51" fillId="0" borderId="50" xfId="0" applyFont="1" applyBorder="1" applyProtection="1">
      <protection locked="0"/>
    </xf>
    <xf numFmtId="167" fontId="13" fillId="4" borderId="48" xfId="0" applyNumberFormat="1" applyFont="1" applyFill="1" applyBorder="1" applyAlignment="1" applyProtection="1">
      <alignment horizontal="right" vertical="center"/>
      <protection locked="0"/>
    </xf>
    <xf numFmtId="167" fontId="13" fillId="4" borderId="75" xfId="0" applyNumberFormat="1" applyFont="1" applyFill="1" applyBorder="1" applyAlignment="1" applyProtection="1">
      <alignment horizontal="right" vertical="center"/>
      <protection locked="0"/>
    </xf>
    <xf numFmtId="167" fontId="35" fillId="3" borderId="74" xfId="0" applyNumberFormat="1" applyFont="1" applyFill="1" applyBorder="1" applyAlignment="1" applyProtection="1">
      <alignment horizontal="right" vertical="center"/>
      <protection hidden="1"/>
    </xf>
    <xf numFmtId="167" fontId="35" fillId="3" borderId="75" xfId="0" applyNumberFormat="1" applyFont="1" applyFill="1" applyBorder="1" applyAlignment="1" applyProtection="1">
      <alignment horizontal="right" vertical="center"/>
      <protection hidden="1"/>
    </xf>
    <xf numFmtId="5" fontId="54" fillId="2" borderId="19" xfId="0" applyNumberFormat="1" applyFont="1" applyFill="1" applyBorder="1" applyAlignment="1" applyProtection="1">
      <alignment horizontal="center" vertical="center" wrapText="1"/>
      <protection hidden="1"/>
    </xf>
    <xf numFmtId="5" fontId="54" fillId="2" borderId="20" xfId="0" applyNumberFormat="1" applyFont="1" applyFill="1" applyBorder="1" applyAlignment="1" applyProtection="1">
      <alignment horizontal="center" vertical="center" wrapText="1"/>
      <protection hidden="1"/>
    </xf>
    <xf numFmtId="167" fontId="16" fillId="2" borderId="19" xfId="0" applyNumberFormat="1" applyFont="1" applyFill="1" applyBorder="1" applyAlignment="1" applyProtection="1">
      <alignment horizontal="center" vertical="center"/>
      <protection hidden="1"/>
    </xf>
    <xf numFmtId="167" fontId="16" fillId="2" borderId="21" xfId="0" applyNumberFormat="1" applyFont="1" applyFill="1" applyBorder="1" applyAlignment="1" applyProtection="1">
      <alignment horizontal="center" vertical="center"/>
      <protection hidden="1"/>
    </xf>
    <xf numFmtId="167" fontId="35" fillId="3" borderId="37" xfId="0" applyNumberFormat="1" applyFont="1" applyFill="1" applyBorder="1" applyAlignment="1" applyProtection="1">
      <alignment horizontal="right" vertical="center"/>
      <protection hidden="1"/>
    </xf>
    <xf numFmtId="167" fontId="35" fillId="3" borderId="38" xfId="0" applyNumberFormat="1" applyFont="1" applyFill="1" applyBorder="1" applyAlignment="1" applyProtection="1">
      <alignment horizontal="right" vertical="center"/>
      <protection hidden="1"/>
    </xf>
    <xf numFmtId="0" fontId="17" fillId="2" borderId="37" xfId="0" applyFont="1" applyFill="1" applyBorder="1" applyAlignment="1" applyProtection="1">
      <alignment horizontal="left" vertical="center"/>
      <protection hidden="1"/>
    </xf>
    <xf numFmtId="0" fontId="17" fillId="2" borderId="28" xfId="0" applyFont="1" applyFill="1" applyBorder="1" applyAlignment="1" applyProtection="1">
      <alignment horizontal="left" vertical="center"/>
      <protection hidden="1"/>
    </xf>
    <xf numFmtId="0" fontId="17" fillId="2" borderId="38" xfId="0" applyFont="1" applyFill="1" applyBorder="1" applyAlignment="1" applyProtection="1">
      <alignment horizontal="left" vertical="center"/>
      <protection hidden="1"/>
    </xf>
    <xf numFmtId="0" fontId="29" fillId="11" borderId="19" xfId="0" applyFont="1" applyFill="1" applyBorder="1" applyAlignment="1" applyProtection="1">
      <alignment horizontal="left" vertical="center" wrapText="1"/>
      <protection hidden="1"/>
    </xf>
    <xf numFmtId="0" fontId="29" fillId="11" borderId="20" xfId="0" applyFont="1" applyFill="1" applyBorder="1" applyAlignment="1" applyProtection="1">
      <alignment horizontal="left" vertical="center" wrapText="1"/>
      <protection hidden="1"/>
    </xf>
    <xf numFmtId="0" fontId="29" fillId="11" borderId="21" xfId="0" applyFont="1" applyFill="1" applyBorder="1" applyAlignment="1" applyProtection="1">
      <alignment horizontal="left" vertical="center" wrapText="1"/>
      <protection hidden="1"/>
    </xf>
    <xf numFmtId="167" fontId="16" fillId="2" borderId="10" xfId="0" applyNumberFormat="1" applyFont="1" applyFill="1" applyBorder="1" applyAlignment="1" applyProtection="1">
      <alignment horizontal="center" wrapText="1"/>
      <protection hidden="1"/>
    </xf>
    <xf numFmtId="167" fontId="16" fillId="2" borderId="11" xfId="0" applyNumberFormat="1" applyFont="1" applyFill="1" applyBorder="1" applyAlignment="1" applyProtection="1">
      <alignment horizontal="center" wrapText="1"/>
      <protection hidden="1"/>
    </xf>
    <xf numFmtId="0" fontId="51" fillId="0" borderId="69" xfId="0" applyFont="1" applyBorder="1" applyAlignment="1" applyProtection="1">
      <alignment horizontal="left" vertical="center"/>
      <protection locked="0"/>
    </xf>
    <xf numFmtId="0" fontId="51" fillId="0" borderId="27" xfId="0" applyFont="1" applyBorder="1" applyAlignment="1" applyProtection="1">
      <alignment horizontal="left" vertical="center"/>
      <protection locked="0"/>
    </xf>
    <xf numFmtId="0" fontId="28" fillId="11" borderId="9" xfId="0" applyFont="1" applyFill="1" applyBorder="1" applyAlignment="1" applyProtection="1">
      <alignment wrapText="1"/>
      <protection hidden="1"/>
    </xf>
    <xf numFmtId="0" fontId="28" fillId="11" borderId="12" xfId="0" applyFont="1" applyFill="1" applyBorder="1" applyAlignment="1" applyProtection="1">
      <alignment wrapText="1"/>
      <protection hidden="1"/>
    </xf>
    <xf numFmtId="0" fontId="51" fillId="0" borderId="50" xfId="0" applyFont="1" applyBorder="1" applyAlignment="1" applyProtection="1">
      <alignment horizontal="left" vertical="center"/>
      <protection locked="0"/>
    </xf>
    <xf numFmtId="0" fontId="64" fillId="2" borderId="19" xfId="0" applyFont="1" applyFill="1" applyBorder="1" applyAlignment="1" applyProtection="1">
      <alignment horizontal="left" vertical="center"/>
      <protection hidden="1"/>
    </xf>
    <xf numFmtId="0" fontId="64" fillId="2" borderId="20" xfId="0" applyFont="1" applyFill="1" applyBorder="1" applyAlignment="1" applyProtection="1">
      <alignment horizontal="left" vertical="center"/>
      <protection hidden="1"/>
    </xf>
    <xf numFmtId="0" fontId="64" fillId="2" borderId="21" xfId="0" applyFont="1" applyFill="1" applyBorder="1" applyAlignment="1" applyProtection="1">
      <alignment horizontal="left" vertical="center"/>
      <protection hidden="1"/>
    </xf>
    <xf numFmtId="0" fontId="35" fillId="4" borderId="19" xfId="0" applyFont="1" applyFill="1" applyBorder="1" applyAlignment="1" applyProtection="1">
      <alignment horizontal="center" vertical="center"/>
      <protection locked="0"/>
    </xf>
    <xf numFmtId="0" fontId="35" fillId="4" borderId="21" xfId="0" applyFont="1" applyFill="1" applyBorder="1" applyAlignment="1" applyProtection="1">
      <alignment horizontal="center" vertical="center"/>
      <protection locked="0"/>
    </xf>
    <xf numFmtId="167" fontId="35" fillId="3" borderId="68" xfId="0" applyNumberFormat="1" applyFont="1" applyFill="1" applyBorder="1" applyAlignment="1" applyProtection="1">
      <alignment horizontal="right" vertical="center"/>
      <protection hidden="1"/>
    </xf>
    <xf numFmtId="167" fontId="35" fillId="3" borderId="72" xfId="0" applyNumberFormat="1" applyFont="1" applyFill="1" applyBorder="1" applyAlignment="1" applyProtection="1">
      <alignment horizontal="right" vertical="center"/>
      <protection hidden="1"/>
    </xf>
    <xf numFmtId="0" fontId="55" fillId="2" borderId="68" xfId="0" applyFont="1" applyFill="1" applyBorder="1" applyAlignment="1" applyProtection="1">
      <alignment horizontal="left" vertical="center"/>
      <protection hidden="1"/>
    </xf>
    <xf numFmtId="0" fontId="55" fillId="2" borderId="73" xfId="0" applyFont="1" applyFill="1" applyBorder="1" applyAlignment="1" applyProtection="1">
      <alignment horizontal="left" vertical="center"/>
      <protection hidden="1"/>
    </xf>
    <xf numFmtId="0" fontId="55" fillId="2" borderId="72" xfId="0" applyFont="1" applyFill="1" applyBorder="1" applyAlignment="1" applyProtection="1">
      <alignment horizontal="left" vertical="center"/>
      <protection hidden="1"/>
    </xf>
    <xf numFmtId="0" fontId="55" fillId="2" borderId="20" xfId="0" applyFont="1" applyFill="1" applyBorder="1" applyAlignment="1" applyProtection="1">
      <alignment horizontal="center" vertical="center" wrapText="1"/>
      <protection hidden="1"/>
    </xf>
    <xf numFmtId="0" fontId="51" fillId="0" borderId="59" xfId="0" applyFont="1" applyBorder="1" applyProtection="1">
      <protection locked="0"/>
    </xf>
    <xf numFmtId="0" fontId="51" fillId="0" borderId="73" xfId="0" applyFont="1" applyBorder="1" applyProtection="1">
      <protection locked="0"/>
    </xf>
    <xf numFmtId="0" fontId="51" fillId="0" borderId="69" xfId="0" applyFont="1" applyBorder="1" applyProtection="1">
      <protection locked="0"/>
    </xf>
    <xf numFmtId="0" fontId="36" fillId="0" borderId="0" xfId="0" applyFont="1" applyBorder="1" applyAlignment="1">
      <alignment horizontal="left" vertical="top" wrapText="1"/>
    </xf>
    <xf numFmtId="0" fontId="36" fillId="0" borderId="14" xfId="0" applyFont="1" applyBorder="1" applyAlignment="1">
      <alignment horizontal="left" vertical="top" wrapText="1"/>
    </xf>
    <xf numFmtId="0" fontId="36" fillId="0" borderId="11" xfId="0" applyFont="1" applyBorder="1" applyAlignment="1">
      <alignment horizontal="left" vertical="top" wrapText="1"/>
    </xf>
    <xf numFmtId="0" fontId="36" fillId="0" borderId="12" xfId="0" applyFont="1" applyBorder="1" applyAlignment="1">
      <alignment horizontal="left" vertical="top" wrapText="1"/>
    </xf>
    <xf numFmtId="167" fontId="13" fillId="4" borderId="59" xfId="0" applyNumberFormat="1" applyFont="1" applyFill="1" applyBorder="1" applyAlignment="1" applyProtection="1">
      <alignment horizontal="right" vertical="center"/>
      <protection locked="0"/>
    </xf>
    <xf numFmtId="167" fontId="13" fillId="4" borderId="72" xfId="0" applyNumberFormat="1" applyFont="1" applyFill="1" applyBorder="1" applyAlignment="1" applyProtection="1">
      <alignment horizontal="right" vertical="center"/>
      <protection locked="0"/>
    </xf>
    <xf numFmtId="0" fontId="73" fillId="11" borderId="7" xfId="0" applyFont="1" applyFill="1" applyBorder="1" applyAlignment="1" applyProtection="1">
      <alignment horizontal="center" vertical="center"/>
      <protection hidden="1"/>
    </xf>
    <xf numFmtId="0" fontId="73" fillId="11" borderId="8" xfId="0" applyFont="1" applyFill="1" applyBorder="1" applyAlignment="1" applyProtection="1">
      <alignment horizontal="center" vertical="center"/>
      <protection hidden="1"/>
    </xf>
    <xf numFmtId="0" fontId="73" fillId="11" borderId="9" xfId="0" applyFont="1" applyFill="1" applyBorder="1" applyAlignment="1" applyProtection="1">
      <alignment horizontal="center" vertical="center"/>
      <protection hidden="1"/>
    </xf>
    <xf numFmtId="0" fontId="73" fillId="11" borderId="10" xfId="0" applyFont="1" applyFill="1" applyBorder="1" applyAlignment="1" applyProtection="1">
      <alignment horizontal="center" vertical="center"/>
      <protection hidden="1"/>
    </xf>
    <xf numFmtId="0" fontId="73" fillId="11" borderId="11" xfId="0" applyFont="1" applyFill="1" applyBorder="1" applyAlignment="1" applyProtection="1">
      <alignment horizontal="center" vertical="center"/>
      <protection hidden="1"/>
    </xf>
    <xf numFmtId="0" fontId="73" fillId="11" borderId="12" xfId="0" applyFont="1" applyFill="1" applyBorder="1" applyAlignment="1" applyProtection="1">
      <alignment horizontal="center" vertical="center"/>
      <protection hidden="1"/>
    </xf>
    <xf numFmtId="0" fontId="36" fillId="0" borderId="0" xfId="0" applyFont="1" applyAlignment="1" applyProtection="1">
      <alignment horizontal="left" vertical="top" wrapText="1"/>
      <protection hidden="1"/>
    </xf>
    <xf numFmtId="0" fontId="35" fillId="4" borderId="20" xfId="0" applyFont="1" applyFill="1" applyBorder="1" applyAlignment="1" applyProtection="1">
      <alignment horizontal="center" vertical="center"/>
      <protection locked="0"/>
    </xf>
    <xf numFmtId="44" fontId="35" fillId="3" borderId="5" xfId="0" applyNumberFormat="1" applyFont="1" applyFill="1" applyBorder="1" applyProtection="1">
      <protection hidden="1"/>
    </xf>
    <xf numFmtId="44" fontId="35" fillId="3" borderId="6" xfId="0" applyNumberFormat="1" applyFont="1" applyFill="1" applyBorder="1" applyProtection="1">
      <protection hidden="1"/>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7" fillId="0" borderId="14" xfId="0" applyFont="1" applyBorder="1" applyAlignment="1" applyProtection="1">
      <alignment horizontal="center"/>
      <protection hidden="1"/>
    </xf>
    <xf numFmtId="5" fontId="16" fillId="2" borderId="10" xfId="0" applyNumberFormat="1" applyFont="1" applyFill="1" applyBorder="1" applyAlignment="1" applyProtection="1">
      <alignment horizontal="center" vertical="center" wrapText="1"/>
      <protection hidden="1"/>
    </xf>
    <xf numFmtId="5" fontId="16" fillId="2" borderId="64" xfId="0" applyNumberFormat="1" applyFont="1" applyFill="1" applyBorder="1" applyAlignment="1" applyProtection="1">
      <alignment horizontal="center" vertical="center" wrapText="1"/>
      <protection hidden="1"/>
    </xf>
    <xf numFmtId="0" fontId="15" fillId="0" borderId="27" xfId="0" applyFont="1" applyBorder="1"/>
    <xf numFmtId="44" fontId="35" fillId="3" borderId="15" xfId="0" applyNumberFormat="1" applyFont="1" applyFill="1" applyBorder="1" applyProtection="1">
      <protection hidden="1"/>
    </xf>
    <xf numFmtId="44" fontId="35" fillId="3" borderId="17" xfId="0" applyNumberFormat="1" applyFont="1" applyFill="1" applyBorder="1" applyProtection="1">
      <protection hidden="1"/>
    </xf>
    <xf numFmtId="0" fontId="15" fillId="0" borderId="16" xfId="0" applyFont="1" applyBorder="1"/>
    <xf numFmtId="0" fontId="15" fillId="0" borderId="15" xfId="0" applyFont="1" applyBorder="1"/>
    <xf numFmtId="167" fontId="16" fillId="3" borderId="4" xfId="0" applyNumberFormat="1" applyFont="1" applyFill="1" applyBorder="1" applyAlignment="1" applyProtection="1">
      <alignment horizontal="left" vertical="center"/>
      <protection hidden="1"/>
    </xf>
    <xf numFmtId="0" fontId="15" fillId="0" borderId="5" xfId="0" applyFont="1" applyBorder="1" applyAlignment="1">
      <alignment vertical="center"/>
    </xf>
    <xf numFmtId="0" fontId="15" fillId="0" borderId="2" xfId="0" applyFont="1" applyBorder="1" applyAlignment="1">
      <alignment vertical="center"/>
    </xf>
    <xf numFmtId="0" fontId="70" fillId="0" borderId="46" xfId="0" applyFont="1" applyBorder="1" applyAlignment="1">
      <alignment horizontal="center" wrapText="1"/>
    </xf>
    <xf numFmtId="0" fontId="17" fillId="0" borderId="47" xfId="0" applyFont="1" applyBorder="1" applyAlignment="1">
      <alignment horizontal="center" wrapText="1"/>
    </xf>
    <xf numFmtId="0" fontId="16" fillId="9" borderId="0" xfId="0" applyFont="1" applyFill="1" applyAlignment="1">
      <alignment horizontal="center" wrapText="1"/>
    </xf>
    <xf numFmtId="0" fontId="16" fillId="22" borderId="19" xfId="2" applyFont="1" applyFill="1" applyBorder="1" applyAlignment="1">
      <alignment horizontal="center"/>
    </xf>
    <xf numFmtId="0" fontId="16" fillId="22" borderId="20" xfId="2" applyFont="1" applyFill="1" applyBorder="1" applyAlignment="1">
      <alignment horizontal="center"/>
    </xf>
    <xf numFmtId="0" fontId="16" fillId="22" borderId="21" xfId="2" applyFont="1" applyFill="1" applyBorder="1" applyAlignment="1">
      <alignment horizontal="center"/>
    </xf>
    <xf numFmtId="0" fontId="16" fillId="22" borderId="19" xfId="2" applyFont="1" applyFill="1" applyBorder="1" applyAlignment="1">
      <alignment horizontal="center" vertical="top"/>
    </xf>
    <xf numFmtId="0" fontId="16" fillId="22" borderId="20" xfId="2" applyFont="1" applyFill="1" applyBorder="1" applyAlignment="1">
      <alignment horizontal="center" vertical="top"/>
    </xf>
    <xf numFmtId="0" fontId="16" fillId="22" borderId="21" xfId="2" applyFont="1" applyFill="1" applyBorder="1" applyAlignment="1">
      <alignment horizontal="center" vertical="top"/>
    </xf>
  </cellXfs>
  <cellStyles count="8">
    <cellStyle name="Comma" xfId="3" builtinId="3"/>
    <cellStyle name="Currency" xfId="6" builtinId="4"/>
    <cellStyle name="Hyperlink" xfId="4" builtinId="8"/>
    <cellStyle name="Normal" xfId="0" builtinId="0"/>
    <cellStyle name="Normal 2" xfId="1"/>
    <cellStyle name="Normal 3" xfId="2"/>
    <cellStyle name="Normal 4" xfId="5"/>
    <cellStyle name="Normal 5" xfId="7"/>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CC"/>
      <color rgb="FFFFFF99"/>
      <color rgb="FFFCF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9" Type="http://schemas.openxmlformats.org/officeDocument/2006/relationships/image" Target="../media/image41.jpeg"/><Relationship Id="rId21" Type="http://schemas.openxmlformats.org/officeDocument/2006/relationships/image" Target="../media/image23.jpeg"/><Relationship Id="rId34" Type="http://schemas.openxmlformats.org/officeDocument/2006/relationships/image" Target="../media/image36.jpeg"/><Relationship Id="rId42" Type="http://schemas.openxmlformats.org/officeDocument/2006/relationships/image" Target="../media/image44.png"/><Relationship Id="rId47" Type="http://schemas.openxmlformats.org/officeDocument/2006/relationships/image" Target="../media/image49.jpeg"/><Relationship Id="rId50" Type="http://schemas.openxmlformats.org/officeDocument/2006/relationships/image" Target="../media/image52.png"/><Relationship Id="rId55" Type="http://schemas.openxmlformats.org/officeDocument/2006/relationships/image" Target="../media/image57.png"/><Relationship Id="rId7" Type="http://schemas.openxmlformats.org/officeDocument/2006/relationships/image" Target="../media/image9.jpeg"/><Relationship Id="rId12" Type="http://schemas.openxmlformats.org/officeDocument/2006/relationships/image" Target="../media/image14.jpg"/><Relationship Id="rId17" Type="http://schemas.openxmlformats.org/officeDocument/2006/relationships/image" Target="../media/image19.png"/><Relationship Id="rId25" Type="http://schemas.openxmlformats.org/officeDocument/2006/relationships/image" Target="../media/image27.jpeg"/><Relationship Id="rId33" Type="http://schemas.openxmlformats.org/officeDocument/2006/relationships/image" Target="../media/image35.jpeg"/><Relationship Id="rId38" Type="http://schemas.openxmlformats.org/officeDocument/2006/relationships/image" Target="../media/image40.jpeg"/><Relationship Id="rId46" Type="http://schemas.openxmlformats.org/officeDocument/2006/relationships/image" Target="../media/image48.jpeg"/><Relationship Id="rId2" Type="http://schemas.openxmlformats.org/officeDocument/2006/relationships/image" Target="../media/image4.jpg"/><Relationship Id="rId16" Type="http://schemas.openxmlformats.org/officeDocument/2006/relationships/image" Target="../media/image18.jpeg"/><Relationship Id="rId20" Type="http://schemas.openxmlformats.org/officeDocument/2006/relationships/image" Target="../media/image22.png"/><Relationship Id="rId29" Type="http://schemas.openxmlformats.org/officeDocument/2006/relationships/image" Target="../media/image31.jpeg"/><Relationship Id="rId41" Type="http://schemas.openxmlformats.org/officeDocument/2006/relationships/image" Target="../media/image43.jpeg"/><Relationship Id="rId54" Type="http://schemas.openxmlformats.org/officeDocument/2006/relationships/image" Target="../media/image56.png"/><Relationship Id="rId1" Type="http://schemas.openxmlformats.org/officeDocument/2006/relationships/image" Target="../media/image3.jpg"/><Relationship Id="rId6" Type="http://schemas.openxmlformats.org/officeDocument/2006/relationships/image" Target="../media/image8.jpeg"/><Relationship Id="rId11" Type="http://schemas.openxmlformats.org/officeDocument/2006/relationships/image" Target="../media/image13.png"/><Relationship Id="rId24" Type="http://schemas.openxmlformats.org/officeDocument/2006/relationships/image" Target="../media/image26.jpeg"/><Relationship Id="rId32" Type="http://schemas.openxmlformats.org/officeDocument/2006/relationships/image" Target="../media/image34.png"/><Relationship Id="rId37" Type="http://schemas.openxmlformats.org/officeDocument/2006/relationships/image" Target="../media/image39.jpeg"/><Relationship Id="rId40" Type="http://schemas.openxmlformats.org/officeDocument/2006/relationships/image" Target="../media/image42.png"/><Relationship Id="rId45" Type="http://schemas.openxmlformats.org/officeDocument/2006/relationships/image" Target="../media/image47.jpeg"/><Relationship Id="rId53" Type="http://schemas.openxmlformats.org/officeDocument/2006/relationships/image" Target="../media/image55.jp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jpeg"/><Relationship Id="rId28" Type="http://schemas.openxmlformats.org/officeDocument/2006/relationships/image" Target="../media/image30.jpeg"/><Relationship Id="rId36" Type="http://schemas.openxmlformats.org/officeDocument/2006/relationships/image" Target="../media/image38.jpe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2.png"/><Relationship Id="rId19" Type="http://schemas.openxmlformats.org/officeDocument/2006/relationships/image" Target="../media/image21.jpeg"/><Relationship Id="rId31" Type="http://schemas.openxmlformats.org/officeDocument/2006/relationships/image" Target="../media/image33.jpeg"/><Relationship Id="rId44" Type="http://schemas.openxmlformats.org/officeDocument/2006/relationships/image" Target="../media/image46.gif"/><Relationship Id="rId52" Type="http://schemas.openxmlformats.org/officeDocument/2006/relationships/image" Target="../media/image54.png"/><Relationship Id="rId4" Type="http://schemas.openxmlformats.org/officeDocument/2006/relationships/image" Target="../media/image6.jpg"/><Relationship Id="rId9" Type="http://schemas.openxmlformats.org/officeDocument/2006/relationships/image" Target="../media/image11.emf"/><Relationship Id="rId14" Type="http://schemas.openxmlformats.org/officeDocument/2006/relationships/image" Target="../media/image16.pn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png"/><Relationship Id="rId35" Type="http://schemas.openxmlformats.org/officeDocument/2006/relationships/image" Target="../media/image37.jpeg"/><Relationship Id="rId43" Type="http://schemas.openxmlformats.org/officeDocument/2006/relationships/image" Target="../media/image45.jpeg"/><Relationship Id="rId48" Type="http://schemas.openxmlformats.org/officeDocument/2006/relationships/image" Target="../media/image50.jpeg"/><Relationship Id="rId56" Type="http://schemas.openxmlformats.org/officeDocument/2006/relationships/image" Target="../media/image58.png"/><Relationship Id="rId8" Type="http://schemas.openxmlformats.org/officeDocument/2006/relationships/image" Target="../media/image10.png"/><Relationship Id="rId51" Type="http://schemas.openxmlformats.org/officeDocument/2006/relationships/image" Target="../media/image53.jpeg"/><Relationship Id="rId3" Type="http://schemas.openxmlformats.org/officeDocument/2006/relationships/image" Target="../media/image5.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711994</xdr:colOff>
          <xdr:row>2</xdr:row>
          <xdr:rowOff>0</xdr:rowOff>
        </xdr:from>
        <xdr:to>
          <xdr:col>3</xdr:col>
          <xdr:colOff>1325086</xdr:colOff>
          <xdr:row>15</xdr:row>
          <xdr:rowOff>116682</xdr:rowOff>
        </xdr:to>
        <xdr:pic>
          <xdr:nvPicPr>
            <xdr:cNvPr id="4" name="Picture 3">
              <a:extLst>
                <a:ext uri="{FF2B5EF4-FFF2-40B4-BE49-F238E27FC236}">
                  <a16:creationId xmlns:a16="http://schemas.microsoft.com/office/drawing/2014/main" id="{00000000-0008-0000-0000-000004000000}"/>
                </a:ext>
              </a:extLst>
            </xdr:cNvPr>
            <xdr:cNvPicPr preferRelativeResize="0">
              <a:picLocks noChangeArrowheads="1"/>
              <a:extLst>
                <a:ext uri="{84589F7E-364E-4C9E-8A38-B11213B215E9}">
                  <a14:cameraTool cellRange="CrestPic" spid="_x0000_s75923"/>
                </a:ext>
              </a:extLst>
            </xdr:cNvPicPr>
          </xdr:nvPicPr>
          <xdr:blipFill>
            <a:blip xmlns:r="http://schemas.openxmlformats.org/officeDocument/2006/relationships" r:embed="rId1"/>
            <a:srcRect/>
            <a:stretch>
              <a:fillRect/>
            </a:stretch>
          </xdr:blipFill>
          <xdr:spPr bwMode="auto">
            <a:xfrm>
              <a:off x="997744" y="512445"/>
              <a:ext cx="2637155" cy="2786063"/>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154941</xdr:colOff>
          <xdr:row>2</xdr:row>
          <xdr:rowOff>0</xdr:rowOff>
        </xdr:from>
        <xdr:to>
          <xdr:col>14</xdr:col>
          <xdr:colOff>547689</xdr:colOff>
          <xdr:row>14</xdr:row>
          <xdr:rowOff>22860</xdr:rowOff>
        </xdr:to>
        <xdr:pic>
          <xdr:nvPicPr>
            <xdr:cNvPr id="6" name="Picture 5">
              <a:extLst>
                <a:ext uri="{FF2B5EF4-FFF2-40B4-BE49-F238E27FC236}">
                  <a16:creationId xmlns:a16="http://schemas.microsoft.com/office/drawing/2014/main" id="{00000000-0008-0000-0000-000006000000}"/>
                </a:ext>
              </a:extLst>
            </xdr:cNvPr>
            <xdr:cNvPicPr preferRelativeResize="0">
              <a:picLocks noChangeArrowheads="1"/>
              <a:extLst>
                <a:ext uri="{84589F7E-364E-4C9E-8A38-B11213B215E9}">
                  <a14:cameraTool cellRange="Crestpic2" spid="_x0000_s75924"/>
                </a:ext>
              </a:extLst>
            </xdr:cNvPicPr>
          </xdr:nvPicPr>
          <xdr:blipFill>
            <a:blip xmlns:r="http://schemas.openxmlformats.org/officeDocument/2006/relationships" r:embed="rId1"/>
            <a:srcRect/>
            <a:stretch>
              <a:fillRect/>
            </a:stretch>
          </xdr:blipFill>
          <xdr:spPr bwMode="auto">
            <a:xfrm>
              <a:off x="12418379" y="528480"/>
              <a:ext cx="2407285" cy="2516029"/>
            </a:xfrm>
            <a:prstGeom prst="rect">
              <a:avLst/>
            </a:prstGeom>
            <a:noFill/>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298450</xdr:colOff>
          <xdr:row>1</xdr:row>
          <xdr:rowOff>44450</xdr:rowOff>
        </xdr:from>
        <xdr:to>
          <xdr:col>3</xdr:col>
          <xdr:colOff>1276350</xdr:colOff>
          <xdr:row>14</xdr:row>
          <xdr:rowOff>152400</xdr:rowOff>
        </xdr:to>
        <xdr:pic>
          <xdr:nvPicPr>
            <xdr:cNvPr id="4" name="Picture 3">
              <a:extLst>
                <a:ext uri="{FF2B5EF4-FFF2-40B4-BE49-F238E27FC236}">
                  <a16:creationId xmlns:a16="http://schemas.microsoft.com/office/drawing/2014/main" id="{00000000-0008-0000-0100-000004000000}"/>
                </a:ext>
              </a:extLst>
            </xdr:cNvPr>
            <xdr:cNvPicPr preferRelativeResize="0">
              <a:picLocks noChangeArrowheads="1"/>
              <a:extLst>
                <a:ext uri="{84589F7E-364E-4C9E-8A38-B11213B215E9}">
                  <a14:cameraTool cellRange="CrestPic" spid="_x0000_s65791"/>
                </a:ext>
              </a:extLst>
            </xdr:cNvPicPr>
          </xdr:nvPicPr>
          <xdr:blipFill>
            <a:blip xmlns:r="http://schemas.openxmlformats.org/officeDocument/2006/relationships" r:embed="rId1"/>
            <a:srcRect/>
            <a:stretch>
              <a:fillRect/>
            </a:stretch>
          </xdr:blipFill>
          <xdr:spPr bwMode="auto">
            <a:xfrm>
              <a:off x="298450" y="44450"/>
              <a:ext cx="2578100" cy="278765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576263</xdr:colOff>
          <xdr:row>2</xdr:row>
          <xdr:rowOff>63500</xdr:rowOff>
        </xdr:from>
        <xdr:to>
          <xdr:col>13</xdr:col>
          <xdr:colOff>1166813</xdr:colOff>
          <xdr:row>14</xdr:row>
          <xdr:rowOff>170656</xdr:rowOff>
        </xdr:to>
        <xdr:pic>
          <xdr:nvPicPr>
            <xdr:cNvPr id="5" name="Picture 4">
              <a:extLst>
                <a:ext uri="{FF2B5EF4-FFF2-40B4-BE49-F238E27FC236}">
                  <a16:creationId xmlns:a16="http://schemas.microsoft.com/office/drawing/2014/main" id="{00000000-0008-0000-0100-000005000000}"/>
                </a:ext>
              </a:extLst>
            </xdr:cNvPr>
            <xdr:cNvPicPr preferRelativeResize="0">
              <a:picLocks noChangeArrowheads="1"/>
              <a:extLst>
                <a:ext uri="{84589F7E-364E-4C9E-8A38-B11213B215E9}">
                  <a14:cameraTool cellRange="Crestpic2" spid="_x0000_s65792"/>
                </a:ext>
              </a:extLst>
            </xdr:cNvPicPr>
          </xdr:nvPicPr>
          <xdr:blipFill>
            <a:blip xmlns:r="http://schemas.openxmlformats.org/officeDocument/2006/relationships" r:embed="rId1"/>
            <a:srcRect/>
            <a:stretch>
              <a:fillRect/>
            </a:stretch>
          </xdr:blipFill>
          <xdr:spPr bwMode="auto">
            <a:xfrm>
              <a:off x="10982326" y="254000"/>
              <a:ext cx="2447925" cy="2588419"/>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438150</xdr:colOff>
          <xdr:row>1</xdr:row>
          <xdr:rowOff>38100</xdr:rowOff>
        </xdr:from>
        <xdr:to>
          <xdr:col>3</xdr:col>
          <xdr:colOff>1235710</xdr:colOff>
          <xdr:row>13</xdr:row>
          <xdr:rowOff>76042</xdr:rowOff>
        </xdr:to>
        <xdr:pic>
          <xdr:nvPicPr>
            <xdr:cNvPr id="8" name="Picture 7">
              <a:extLst>
                <a:ext uri="{FF2B5EF4-FFF2-40B4-BE49-F238E27FC236}">
                  <a16:creationId xmlns:a16="http://schemas.microsoft.com/office/drawing/2014/main" id="{00000000-0008-0000-0200-000008000000}"/>
                </a:ext>
              </a:extLst>
            </xdr:cNvPr>
            <xdr:cNvPicPr preferRelativeResize="0">
              <a:picLocks noChangeArrowheads="1"/>
              <a:extLst>
                <a:ext uri="{84589F7E-364E-4C9E-8A38-B11213B215E9}">
                  <a14:cameraTool cellRange="CrestPic" spid="_x0000_s56837"/>
                </a:ext>
              </a:extLst>
            </xdr:cNvPicPr>
          </xdr:nvPicPr>
          <xdr:blipFill>
            <a:blip xmlns:r="http://schemas.openxmlformats.org/officeDocument/2006/relationships" r:embed="rId1"/>
            <a:srcRect/>
            <a:stretch>
              <a:fillRect/>
            </a:stretch>
          </xdr:blipFill>
          <xdr:spPr bwMode="auto">
            <a:xfrm>
              <a:off x="438150" y="38100"/>
              <a:ext cx="2349500" cy="24511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xdr:row>
          <xdr:rowOff>1</xdr:rowOff>
        </xdr:from>
        <xdr:to>
          <xdr:col>13</xdr:col>
          <xdr:colOff>780416</xdr:colOff>
          <xdr:row>12</xdr:row>
          <xdr:rowOff>189072</xdr:rowOff>
        </xdr:to>
        <xdr:pic>
          <xdr:nvPicPr>
            <xdr:cNvPr id="9" name="Picture 8">
              <a:extLst>
                <a:ext uri="{FF2B5EF4-FFF2-40B4-BE49-F238E27FC236}">
                  <a16:creationId xmlns:a16="http://schemas.microsoft.com/office/drawing/2014/main" id="{00000000-0008-0000-0200-000009000000}"/>
                </a:ext>
              </a:extLst>
            </xdr:cNvPr>
            <xdr:cNvPicPr preferRelativeResize="0">
              <a:picLocks noChangeArrowheads="1"/>
              <a:extLst>
                <a:ext uri="{84589F7E-364E-4C9E-8A38-B11213B215E9}">
                  <a14:cameraTool cellRange="Crestpic2" spid="_x0000_s56838"/>
                </a:ext>
              </a:extLst>
            </xdr:cNvPicPr>
          </xdr:nvPicPr>
          <xdr:blipFill>
            <a:blip xmlns:r="http://schemas.openxmlformats.org/officeDocument/2006/relationships" r:embed="rId1"/>
            <a:srcRect/>
            <a:stretch>
              <a:fillRect/>
            </a:stretch>
          </xdr:blipFill>
          <xdr:spPr bwMode="auto">
            <a:xfrm>
              <a:off x="9575800" y="1"/>
              <a:ext cx="2181226" cy="2419349"/>
            </a:xfrm>
            <a:prstGeom prst="rect">
              <a:avLst/>
            </a:prstGeom>
            <a:no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238125</xdr:colOff>
      <xdr:row>32</xdr:row>
      <xdr:rowOff>38100</xdr:rowOff>
    </xdr:from>
    <xdr:to>
      <xdr:col>4</xdr:col>
      <xdr:colOff>9525</xdr:colOff>
      <xdr:row>34</xdr:row>
      <xdr:rowOff>28575</xdr:rowOff>
    </xdr:to>
    <xdr:sp macro="" textlink="">
      <xdr:nvSpPr>
        <xdr:cNvPr id="3" name="Right Brace 2">
          <a:extLst>
            <a:ext uri="{FF2B5EF4-FFF2-40B4-BE49-F238E27FC236}">
              <a16:creationId xmlns:a16="http://schemas.microsoft.com/office/drawing/2014/main" id="{00000000-0008-0000-0600-000003000000}"/>
            </a:ext>
          </a:extLst>
        </xdr:cNvPr>
        <xdr:cNvSpPr/>
      </xdr:nvSpPr>
      <xdr:spPr>
        <a:xfrm>
          <a:off x="10048875" y="1933575"/>
          <a:ext cx="714375" cy="333375"/>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21132</xdr:colOff>
      <xdr:row>9</xdr:row>
      <xdr:rowOff>0</xdr:rowOff>
    </xdr:from>
    <xdr:ext cx="600075" cy="747854"/>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933311" y="6735536"/>
          <a:ext cx="600075" cy="747854"/>
        </a:xfrm>
        <a:prstGeom prst="rect">
          <a:avLst/>
        </a:prstGeom>
      </xdr:spPr>
    </xdr:pic>
    <xdr:clientData/>
  </xdr:oneCellAnchor>
  <xdr:oneCellAnchor>
    <xdr:from>
      <xdr:col>1</xdr:col>
      <xdr:colOff>4463</xdr:colOff>
      <xdr:row>7</xdr:row>
      <xdr:rowOff>9524</xdr:rowOff>
    </xdr:from>
    <xdr:ext cx="633412" cy="723900"/>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916642" y="5248274"/>
          <a:ext cx="633412" cy="723900"/>
        </a:xfrm>
        <a:prstGeom prst="rect">
          <a:avLst/>
        </a:prstGeom>
      </xdr:spPr>
    </xdr:pic>
    <xdr:clientData/>
  </xdr:oneCellAnchor>
  <xdr:oneCellAnchor>
    <xdr:from>
      <xdr:col>1</xdr:col>
      <xdr:colOff>15314</xdr:colOff>
      <xdr:row>10</xdr:row>
      <xdr:rowOff>733425</xdr:rowOff>
    </xdr:from>
    <xdr:ext cx="611711" cy="762358"/>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927493" y="8217354"/>
          <a:ext cx="611711" cy="762358"/>
        </a:xfrm>
        <a:prstGeom prst="rect">
          <a:avLst/>
        </a:prstGeom>
      </xdr:spPr>
    </xdr:pic>
    <xdr:clientData/>
  </xdr:oneCellAnchor>
  <xdr:oneCellAnchor>
    <xdr:from>
      <xdr:col>1</xdr:col>
      <xdr:colOff>42206</xdr:colOff>
      <xdr:row>35</xdr:row>
      <xdr:rowOff>28574</xdr:rowOff>
    </xdr:from>
    <xdr:ext cx="557926" cy="695325"/>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954385" y="26222324"/>
          <a:ext cx="557926" cy="695325"/>
        </a:xfrm>
        <a:prstGeom prst="rect">
          <a:avLst/>
        </a:prstGeom>
      </xdr:spPr>
    </xdr:pic>
    <xdr:clientData/>
  </xdr:oneCellAnchor>
  <xdr:oneCellAnchor>
    <xdr:from>
      <xdr:col>1</xdr:col>
      <xdr:colOff>26851</xdr:colOff>
      <xdr:row>38</xdr:row>
      <xdr:rowOff>47625</xdr:rowOff>
    </xdr:from>
    <xdr:ext cx="588636" cy="666749"/>
    <xdr:pic>
      <xdr:nvPicPr>
        <xdr:cNvPr id="29" name="Picture 28">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939030" y="28486554"/>
          <a:ext cx="588636" cy="666749"/>
        </a:xfrm>
        <a:prstGeom prst="rect">
          <a:avLst/>
        </a:prstGeom>
      </xdr:spPr>
    </xdr:pic>
    <xdr:clientData/>
  </xdr:oneCellAnchor>
  <xdr:oneCellAnchor>
    <xdr:from>
      <xdr:col>1</xdr:col>
      <xdr:colOff>14290</xdr:colOff>
      <xdr:row>3</xdr:row>
      <xdr:rowOff>47625</xdr:rowOff>
    </xdr:from>
    <xdr:ext cx="613759" cy="714375"/>
    <xdr:pic>
      <xdr:nvPicPr>
        <xdr:cNvPr id="34" name="Picture 33">
          <a:extLst>
            <a:ext uri="{FF2B5EF4-FFF2-40B4-BE49-F238E27FC236}">
              <a16:creationId xmlns:a16="http://schemas.microsoft.com/office/drawing/2014/main" id="{00000000-0008-0000-0700-000022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4926469" y="2292804"/>
          <a:ext cx="613759" cy="714375"/>
        </a:xfrm>
        <a:prstGeom prst="rect">
          <a:avLst/>
        </a:prstGeom>
      </xdr:spPr>
    </xdr:pic>
    <xdr:clientData/>
  </xdr:oneCellAnchor>
  <xdr:oneCellAnchor>
    <xdr:from>
      <xdr:col>1</xdr:col>
      <xdr:colOff>135432</xdr:colOff>
      <xdr:row>41</xdr:row>
      <xdr:rowOff>0</xdr:rowOff>
    </xdr:from>
    <xdr:ext cx="371475" cy="694072"/>
    <xdr:pic>
      <xdr:nvPicPr>
        <xdr:cNvPr id="35" name="Picture 34">
          <a:extLst>
            <a:ext uri="{FF2B5EF4-FFF2-40B4-BE49-F238E27FC236}">
              <a16:creationId xmlns:a16="http://schemas.microsoft.com/office/drawing/2014/main" id="{00000000-0008-0000-0700-000023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5047611" y="30684107"/>
          <a:ext cx="371475" cy="694072"/>
        </a:xfrm>
        <a:prstGeom prst="rect">
          <a:avLst/>
        </a:prstGeom>
      </xdr:spPr>
    </xdr:pic>
    <xdr:clientData/>
  </xdr:oneCellAnchor>
  <xdr:oneCellAnchor>
    <xdr:from>
      <xdr:col>1</xdr:col>
      <xdr:colOff>42225</xdr:colOff>
      <xdr:row>44</xdr:row>
      <xdr:rowOff>33177</xdr:rowOff>
    </xdr:from>
    <xdr:ext cx="557888" cy="683282"/>
    <xdr:pic>
      <xdr:nvPicPr>
        <xdr:cNvPr id="38" name="Picture 37">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954404" y="32962463"/>
          <a:ext cx="557888" cy="683282"/>
        </a:xfrm>
        <a:prstGeom prst="rect">
          <a:avLst/>
        </a:prstGeom>
      </xdr:spPr>
    </xdr:pic>
    <xdr:clientData/>
  </xdr:oneCellAnchor>
  <xdr:oneCellAnchor>
    <xdr:from>
      <xdr:col>0</xdr:col>
      <xdr:colOff>4893194</xdr:colOff>
      <xdr:row>58</xdr:row>
      <xdr:rowOff>209550</xdr:rowOff>
    </xdr:from>
    <xdr:ext cx="680309" cy="371475"/>
    <xdr:pic>
      <xdr:nvPicPr>
        <xdr:cNvPr id="39" name="Picture 38">
          <a:extLst>
            <a:ext uri="{FF2B5EF4-FFF2-40B4-BE49-F238E27FC236}">
              <a16:creationId xmlns:a16="http://schemas.microsoft.com/office/drawing/2014/main" id="{00000000-0008-0000-0700-000027000000}"/>
            </a:ext>
          </a:extLst>
        </xdr:cNvPr>
        <xdr:cNvPicPr preferRelativeResize="0">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4893194" y="40622764"/>
          <a:ext cx="680309" cy="371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4897752</xdr:colOff>
      <xdr:row>50</xdr:row>
      <xdr:rowOff>41276</xdr:rowOff>
    </xdr:from>
    <xdr:ext cx="671192" cy="520699"/>
    <xdr:pic>
      <xdr:nvPicPr>
        <xdr:cNvPr id="42" name="Picture 41">
          <a:extLst>
            <a:ext uri="{FF2B5EF4-FFF2-40B4-BE49-F238E27FC236}">
              <a16:creationId xmlns:a16="http://schemas.microsoft.com/office/drawing/2014/main" id="{00000000-0008-0000-0700-00002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897752" y="37460919"/>
          <a:ext cx="671192" cy="520699"/>
        </a:xfrm>
        <a:prstGeom prst="rect">
          <a:avLst/>
        </a:prstGeom>
      </xdr:spPr>
    </xdr:pic>
    <xdr:clientData/>
  </xdr:oneCellAnchor>
  <xdr:oneCellAnchor>
    <xdr:from>
      <xdr:col>1</xdr:col>
      <xdr:colOff>14495</xdr:colOff>
      <xdr:row>54</xdr:row>
      <xdr:rowOff>292102</xdr:rowOff>
    </xdr:from>
    <xdr:ext cx="613349" cy="241298"/>
    <xdr:pic>
      <xdr:nvPicPr>
        <xdr:cNvPr id="44" name="Picture 43">
          <a:extLst>
            <a:ext uri="{FF2B5EF4-FFF2-40B4-BE49-F238E27FC236}">
              <a16:creationId xmlns:a16="http://schemas.microsoft.com/office/drawing/2014/main" id="{00000000-0008-0000-0700-00002C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4926674" y="39956923"/>
          <a:ext cx="613349" cy="241298"/>
        </a:xfrm>
        <a:prstGeom prst="rect">
          <a:avLst/>
        </a:prstGeom>
      </xdr:spPr>
    </xdr:pic>
    <xdr:clientData/>
  </xdr:oneCellAnchor>
  <xdr:oneCellAnchor>
    <xdr:from>
      <xdr:col>0</xdr:col>
      <xdr:colOff>4911439</xdr:colOff>
      <xdr:row>46</xdr:row>
      <xdr:rowOff>19050</xdr:rowOff>
    </xdr:from>
    <xdr:ext cx="643819" cy="695325"/>
    <xdr:pic>
      <xdr:nvPicPr>
        <xdr:cNvPr id="46" name="Picture 45">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4911439" y="34445121"/>
          <a:ext cx="643819" cy="695325"/>
        </a:xfrm>
        <a:prstGeom prst="rect">
          <a:avLst/>
        </a:prstGeom>
      </xdr:spPr>
    </xdr:pic>
    <xdr:clientData/>
  </xdr:oneCellAnchor>
  <xdr:oneCellAnchor>
    <xdr:from>
      <xdr:col>1</xdr:col>
      <xdr:colOff>40489</xdr:colOff>
      <xdr:row>48</xdr:row>
      <xdr:rowOff>38100</xdr:rowOff>
    </xdr:from>
    <xdr:ext cx="561361" cy="685800"/>
    <xdr:pic>
      <xdr:nvPicPr>
        <xdr:cNvPr id="47" name="Picture 46">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952668" y="35960957"/>
          <a:ext cx="561361" cy="685800"/>
        </a:xfrm>
        <a:prstGeom prst="rect">
          <a:avLst/>
        </a:prstGeom>
      </xdr:spPr>
    </xdr:pic>
    <xdr:clientData/>
  </xdr:oneCellAnchor>
  <xdr:oneCellAnchor>
    <xdr:from>
      <xdr:col>0</xdr:col>
      <xdr:colOff>4823773</xdr:colOff>
      <xdr:row>48</xdr:row>
      <xdr:rowOff>723901</xdr:rowOff>
    </xdr:from>
    <xdr:ext cx="819150" cy="819150"/>
    <xdr:pic>
      <xdr:nvPicPr>
        <xdr:cNvPr id="48" name="Picture 47">
          <a:extLst>
            <a:ext uri="{FF2B5EF4-FFF2-40B4-BE49-F238E27FC236}">
              <a16:creationId xmlns:a16="http://schemas.microsoft.com/office/drawing/2014/main" id="{00000000-0008-0000-0700-00003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823773" y="36646758"/>
          <a:ext cx="819150" cy="819150"/>
        </a:xfrm>
        <a:prstGeom prst="rect">
          <a:avLst/>
        </a:prstGeom>
      </xdr:spPr>
    </xdr:pic>
    <xdr:clientData/>
  </xdr:oneCellAnchor>
  <xdr:oneCellAnchor>
    <xdr:from>
      <xdr:col>1</xdr:col>
      <xdr:colOff>35419</xdr:colOff>
      <xdr:row>43</xdr:row>
      <xdr:rowOff>15876</xdr:rowOff>
    </xdr:from>
    <xdr:ext cx="571500" cy="712520"/>
    <xdr:pic>
      <xdr:nvPicPr>
        <xdr:cNvPr id="49" name="Picture 4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947598" y="32196769"/>
          <a:ext cx="571500" cy="712520"/>
        </a:xfrm>
        <a:prstGeom prst="rect">
          <a:avLst/>
        </a:prstGeom>
      </xdr:spPr>
    </xdr:pic>
    <xdr:clientData/>
  </xdr:oneCellAnchor>
  <xdr:oneCellAnchor>
    <xdr:from>
      <xdr:col>1</xdr:col>
      <xdr:colOff>21133</xdr:colOff>
      <xdr:row>16</xdr:row>
      <xdr:rowOff>12701</xdr:rowOff>
    </xdr:from>
    <xdr:ext cx="600073" cy="732199"/>
    <xdr:pic>
      <xdr:nvPicPr>
        <xdr:cNvPr id="51" name="Picture 50">
          <a:extLst>
            <a:ext uri="{FF2B5EF4-FFF2-40B4-BE49-F238E27FC236}">
              <a16:creationId xmlns:a16="http://schemas.microsoft.com/office/drawing/2014/main" id="{00000000-0008-0000-0700-000033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a:ext>
          </a:extLst>
        </a:blip>
        <a:srcRect/>
        <a:stretch/>
      </xdr:blipFill>
      <xdr:spPr>
        <a:xfrm>
          <a:off x="4933312" y="11986987"/>
          <a:ext cx="600073" cy="732199"/>
        </a:xfrm>
        <a:prstGeom prst="rect">
          <a:avLst/>
        </a:prstGeom>
      </xdr:spPr>
    </xdr:pic>
    <xdr:clientData/>
  </xdr:oneCellAnchor>
  <xdr:oneCellAnchor>
    <xdr:from>
      <xdr:col>0</xdr:col>
      <xdr:colOff>4899974</xdr:colOff>
      <xdr:row>31</xdr:row>
      <xdr:rowOff>41276</xdr:rowOff>
    </xdr:from>
    <xdr:ext cx="666749" cy="666749"/>
    <xdr:pic>
      <xdr:nvPicPr>
        <xdr:cNvPr id="52" name="Picture 5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899974" y="23241455"/>
          <a:ext cx="666749" cy="666749"/>
        </a:xfrm>
        <a:prstGeom prst="rect">
          <a:avLst/>
        </a:prstGeom>
      </xdr:spPr>
    </xdr:pic>
    <xdr:clientData/>
  </xdr:oneCellAnchor>
  <xdr:oneCellAnchor>
    <xdr:from>
      <xdr:col>1</xdr:col>
      <xdr:colOff>41769</xdr:colOff>
      <xdr:row>33</xdr:row>
      <xdr:rowOff>19050</xdr:rowOff>
    </xdr:from>
    <xdr:ext cx="558800" cy="738194"/>
    <xdr:pic>
      <xdr:nvPicPr>
        <xdr:cNvPr id="53" name="Picture 52">
          <a:extLst>
            <a:ext uri="{FF2B5EF4-FFF2-40B4-BE49-F238E27FC236}">
              <a16:creationId xmlns:a16="http://schemas.microsoft.com/office/drawing/2014/main" id="{00000000-0008-0000-0700-00003500000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a:ext>
          </a:extLst>
        </a:blip>
        <a:srcRect/>
        <a:stretch/>
      </xdr:blipFill>
      <xdr:spPr>
        <a:xfrm>
          <a:off x="4953948" y="24716014"/>
          <a:ext cx="558800" cy="738194"/>
        </a:xfrm>
        <a:prstGeom prst="rect">
          <a:avLst/>
        </a:prstGeom>
      </xdr:spPr>
    </xdr:pic>
    <xdr:clientData/>
  </xdr:oneCellAnchor>
  <xdr:oneCellAnchor>
    <xdr:from>
      <xdr:col>1</xdr:col>
      <xdr:colOff>49535</xdr:colOff>
      <xdr:row>36</xdr:row>
      <xdr:rowOff>38100</xdr:rowOff>
    </xdr:from>
    <xdr:ext cx="543269" cy="685800"/>
    <xdr:pic>
      <xdr:nvPicPr>
        <xdr:cNvPr id="55" name="Picture 54">
          <a:extLst>
            <a:ext uri="{FF2B5EF4-FFF2-40B4-BE49-F238E27FC236}">
              <a16:creationId xmlns:a16="http://schemas.microsoft.com/office/drawing/2014/main" id="{00000000-0008-0000-0700-00003700000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a:ext>
          </a:extLst>
        </a:blip>
        <a:srcRect/>
        <a:stretch/>
      </xdr:blipFill>
      <xdr:spPr>
        <a:xfrm>
          <a:off x="4961714" y="26980243"/>
          <a:ext cx="543269" cy="685800"/>
        </a:xfrm>
        <a:prstGeom prst="rect">
          <a:avLst/>
        </a:prstGeom>
      </xdr:spPr>
    </xdr:pic>
    <xdr:clientData/>
  </xdr:oneCellAnchor>
  <xdr:oneCellAnchor>
    <xdr:from>
      <xdr:col>1</xdr:col>
      <xdr:colOff>28309</xdr:colOff>
      <xdr:row>40</xdr:row>
      <xdr:rowOff>6350</xdr:rowOff>
    </xdr:from>
    <xdr:ext cx="585721" cy="730250"/>
    <xdr:pic>
      <xdr:nvPicPr>
        <xdr:cNvPr id="56" name="Picture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940488" y="29942064"/>
          <a:ext cx="585721" cy="730250"/>
        </a:xfrm>
        <a:prstGeom prst="rect">
          <a:avLst/>
        </a:prstGeom>
      </xdr:spPr>
    </xdr:pic>
    <xdr:clientData/>
  </xdr:oneCellAnchor>
  <xdr:twoCellAnchor editAs="oneCell">
    <xdr:from>
      <xdr:col>1</xdr:col>
      <xdr:colOff>25894</xdr:colOff>
      <xdr:row>2</xdr:row>
      <xdr:rowOff>28575</xdr:rowOff>
    </xdr:from>
    <xdr:to>
      <xdr:col>1</xdr:col>
      <xdr:colOff>629779</xdr:colOff>
      <xdr:row>3</xdr:row>
      <xdr:rowOff>2054</xdr:rowOff>
    </xdr:to>
    <xdr:pic>
      <xdr:nvPicPr>
        <xdr:cNvPr id="57" name="Picture 56">
          <a:extLst>
            <a:ext uri="{FF2B5EF4-FFF2-40B4-BE49-F238E27FC236}">
              <a16:creationId xmlns:a16="http://schemas.microsoft.com/office/drawing/2014/main" id="{00000000-0008-0000-0700-000039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a:ext>
          </a:extLst>
        </a:blip>
        <a:srcRect b="-1"/>
        <a:stretch/>
      </xdr:blipFill>
      <xdr:spPr>
        <a:xfrm>
          <a:off x="4938073" y="1525361"/>
          <a:ext cx="590550" cy="712619"/>
        </a:xfrm>
        <a:prstGeom prst="rect">
          <a:avLst/>
        </a:prstGeom>
      </xdr:spPr>
    </xdr:pic>
    <xdr:clientData/>
  </xdr:twoCellAnchor>
  <xdr:twoCellAnchor editAs="oneCell">
    <xdr:from>
      <xdr:col>1</xdr:col>
      <xdr:colOff>73519</xdr:colOff>
      <xdr:row>10</xdr:row>
      <xdr:rowOff>0</xdr:rowOff>
    </xdr:from>
    <xdr:to>
      <xdr:col>1</xdr:col>
      <xdr:colOff>568819</xdr:colOff>
      <xdr:row>10</xdr:row>
      <xdr:rowOff>705990</xdr:rowOff>
    </xdr:to>
    <xdr:pic>
      <xdr:nvPicPr>
        <xdr:cNvPr id="58" name="Picture 57">
          <a:extLst>
            <a:ext uri="{FF2B5EF4-FFF2-40B4-BE49-F238E27FC236}">
              <a16:creationId xmlns:a16="http://schemas.microsoft.com/office/drawing/2014/main" id="{00000000-0008-0000-0700-00003A000000}"/>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a:ext>
          </a:extLst>
        </a:blip>
        <a:srcRect/>
        <a:stretch/>
      </xdr:blipFill>
      <xdr:spPr>
        <a:xfrm>
          <a:off x="4985698" y="7483929"/>
          <a:ext cx="495300" cy="709800"/>
        </a:xfrm>
        <a:prstGeom prst="rect">
          <a:avLst/>
        </a:prstGeom>
      </xdr:spPr>
    </xdr:pic>
    <xdr:clientData/>
  </xdr:twoCellAnchor>
  <xdr:twoCellAnchor editAs="oneCell">
    <xdr:from>
      <xdr:col>0</xdr:col>
      <xdr:colOff>4891809</xdr:colOff>
      <xdr:row>17</xdr:row>
      <xdr:rowOff>28575</xdr:rowOff>
    </xdr:from>
    <xdr:to>
      <xdr:col>1</xdr:col>
      <xdr:colOff>632229</xdr:colOff>
      <xdr:row>18</xdr:row>
      <xdr:rowOff>35192</xdr:rowOff>
    </xdr:to>
    <xdr:pic>
      <xdr:nvPicPr>
        <xdr:cNvPr id="64" name="Picture 63">
          <a:extLst>
            <a:ext uri="{FF2B5EF4-FFF2-40B4-BE49-F238E27FC236}">
              <a16:creationId xmlns:a16="http://schemas.microsoft.com/office/drawing/2014/main" id="{00000000-0008-0000-0700-000040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a:stretch/>
      </xdr:blipFill>
      <xdr:spPr>
        <a:xfrm>
          <a:off x="4891809" y="12658725"/>
          <a:ext cx="657225" cy="749567"/>
        </a:xfrm>
        <a:prstGeom prst="rect">
          <a:avLst/>
        </a:prstGeom>
      </xdr:spPr>
    </xdr:pic>
    <xdr:clientData/>
  </xdr:twoCellAnchor>
  <xdr:twoCellAnchor editAs="oneCell">
    <xdr:from>
      <xdr:col>0</xdr:col>
      <xdr:colOff>4901334</xdr:colOff>
      <xdr:row>18</xdr:row>
      <xdr:rowOff>66675</xdr:rowOff>
    </xdr:from>
    <xdr:to>
      <xdr:col>1</xdr:col>
      <xdr:colOff>664614</xdr:colOff>
      <xdr:row>19</xdr:row>
      <xdr:rowOff>0</xdr:rowOff>
    </xdr:to>
    <xdr:pic>
      <xdr:nvPicPr>
        <xdr:cNvPr id="65" name="Picture 64">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901334" y="13537746"/>
          <a:ext cx="664029" cy="666750"/>
        </a:xfrm>
        <a:prstGeom prst="rect">
          <a:avLst/>
        </a:prstGeom>
      </xdr:spPr>
    </xdr:pic>
    <xdr:clientData/>
  </xdr:twoCellAnchor>
  <xdr:twoCellAnchor editAs="oneCell">
    <xdr:from>
      <xdr:col>1</xdr:col>
      <xdr:colOff>23490</xdr:colOff>
      <xdr:row>19</xdr:row>
      <xdr:rowOff>28575</xdr:rowOff>
    </xdr:from>
    <xdr:to>
      <xdr:col>1</xdr:col>
      <xdr:colOff>626469</xdr:colOff>
      <xdr:row>20</xdr:row>
      <xdr:rowOff>0</xdr:rowOff>
    </xdr:to>
    <xdr:pic>
      <xdr:nvPicPr>
        <xdr:cNvPr id="67" name="Picture 66">
          <a:extLst>
            <a:ext uri="{FF2B5EF4-FFF2-40B4-BE49-F238E27FC236}">
              <a16:creationId xmlns:a16="http://schemas.microsoft.com/office/drawing/2014/main" id="{00000000-0008-0000-0700-00004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a:ext>
          </a:extLst>
        </a:blip>
        <a:srcRect/>
        <a:stretch/>
      </xdr:blipFill>
      <xdr:spPr>
        <a:xfrm>
          <a:off x="4935669" y="14248039"/>
          <a:ext cx="595359" cy="704850"/>
        </a:xfrm>
        <a:prstGeom prst="rect">
          <a:avLst/>
        </a:prstGeom>
      </xdr:spPr>
    </xdr:pic>
    <xdr:clientData/>
  </xdr:twoCellAnchor>
  <xdr:twoCellAnchor editAs="oneCell">
    <xdr:from>
      <xdr:col>1</xdr:col>
      <xdr:colOff>21132</xdr:colOff>
      <xdr:row>20</xdr:row>
      <xdr:rowOff>28574</xdr:rowOff>
    </xdr:from>
    <xdr:to>
      <xdr:col>1</xdr:col>
      <xdr:colOff>625017</xdr:colOff>
      <xdr:row>21</xdr:row>
      <xdr:rowOff>17144</xdr:rowOff>
    </xdr:to>
    <xdr:pic>
      <xdr:nvPicPr>
        <xdr:cNvPr id="68" name="Picture 67">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933311" y="14996431"/>
          <a:ext cx="600075" cy="725533"/>
        </a:xfrm>
        <a:prstGeom prst="rect">
          <a:avLst/>
        </a:prstGeom>
      </xdr:spPr>
    </xdr:pic>
    <xdr:clientData/>
  </xdr:twoCellAnchor>
  <xdr:twoCellAnchor editAs="oneCell">
    <xdr:from>
      <xdr:col>0</xdr:col>
      <xdr:colOff>4901334</xdr:colOff>
      <xdr:row>21</xdr:row>
      <xdr:rowOff>19050</xdr:rowOff>
    </xdr:from>
    <xdr:to>
      <xdr:col>1</xdr:col>
      <xdr:colOff>664613</xdr:colOff>
      <xdr:row>22</xdr:row>
      <xdr:rowOff>15525</xdr:rowOff>
    </xdr:to>
    <xdr:pic>
      <xdr:nvPicPr>
        <xdr:cNvPr id="70" name="Picture 69">
          <a:extLst>
            <a:ext uri="{FF2B5EF4-FFF2-40B4-BE49-F238E27FC236}">
              <a16:creationId xmlns:a16="http://schemas.microsoft.com/office/drawing/2014/main" id="{00000000-0008-0000-0700-000046000000}"/>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a:ext>
          </a:extLst>
        </a:blip>
        <a:srcRect/>
        <a:stretch/>
      </xdr:blipFill>
      <xdr:spPr>
        <a:xfrm>
          <a:off x="4901334" y="15735300"/>
          <a:ext cx="664028" cy="741058"/>
        </a:xfrm>
        <a:prstGeom prst="rect">
          <a:avLst/>
        </a:prstGeom>
      </xdr:spPr>
    </xdr:pic>
    <xdr:clientData/>
  </xdr:twoCellAnchor>
  <xdr:twoCellAnchor editAs="oneCell">
    <xdr:from>
      <xdr:col>1</xdr:col>
      <xdr:colOff>3442</xdr:colOff>
      <xdr:row>23</xdr:row>
      <xdr:rowOff>9526</xdr:rowOff>
    </xdr:from>
    <xdr:to>
      <xdr:col>1</xdr:col>
      <xdr:colOff>631276</xdr:colOff>
      <xdr:row>23</xdr:row>
      <xdr:rowOff>722932</xdr:rowOff>
    </xdr:to>
    <xdr:pic>
      <xdr:nvPicPr>
        <xdr:cNvPr id="71" name="Picture 70">
          <a:extLst>
            <a:ext uri="{FF2B5EF4-FFF2-40B4-BE49-F238E27FC236}">
              <a16:creationId xmlns:a16="http://schemas.microsoft.com/office/drawing/2014/main" id="{00000000-0008-0000-0700-000047000000}"/>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a:ext>
          </a:extLst>
        </a:blip>
        <a:srcRect/>
        <a:stretch/>
      </xdr:blipFill>
      <xdr:spPr>
        <a:xfrm>
          <a:off x="4915621" y="17222562"/>
          <a:ext cx="635454" cy="713406"/>
        </a:xfrm>
        <a:prstGeom prst="rect">
          <a:avLst/>
        </a:prstGeom>
      </xdr:spPr>
    </xdr:pic>
    <xdr:clientData/>
  </xdr:twoCellAnchor>
  <xdr:twoCellAnchor editAs="oneCell">
    <xdr:from>
      <xdr:col>1</xdr:col>
      <xdr:colOff>21132</xdr:colOff>
      <xdr:row>24</xdr:row>
      <xdr:rowOff>28576</xdr:rowOff>
    </xdr:from>
    <xdr:to>
      <xdr:col>1</xdr:col>
      <xdr:colOff>625017</xdr:colOff>
      <xdr:row>25</xdr:row>
      <xdr:rowOff>1033</xdr:rowOff>
    </xdr:to>
    <xdr:pic>
      <xdr:nvPicPr>
        <xdr:cNvPr id="72" name="Picture 71">
          <a:extLst>
            <a:ext uri="{FF2B5EF4-FFF2-40B4-BE49-F238E27FC236}">
              <a16:creationId xmlns:a16="http://schemas.microsoft.com/office/drawing/2014/main" id="{00000000-0008-0000-0700-00004800000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a:ext>
          </a:extLst>
        </a:blip>
        <a:srcRect/>
        <a:stretch/>
      </xdr:blipFill>
      <xdr:spPr>
        <a:xfrm>
          <a:off x="4933311" y="17990005"/>
          <a:ext cx="600075" cy="705882"/>
        </a:xfrm>
        <a:prstGeom prst="rect">
          <a:avLst/>
        </a:prstGeom>
      </xdr:spPr>
    </xdr:pic>
    <xdr:clientData/>
  </xdr:twoCellAnchor>
  <xdr:twoCellAnchor editAs="oneCell">
    <xdr:from>
      <xdr:col>0</xdr:col>
      <xdr:colOff>4906097</xdr:colOff>
      <xdr:row>25</xdr:row>
      <xdr:rowOff>9525</xdr:rowOff>
    </xdr:from>
    <xdr:to>
      <xdr:col>1</xdr:col>
      <xdr:colOff>648421</xdr:colOff>
      <xdr:row>25</xdr:row>
      <xdr:rowOff>670559</xdr:rowOff>
    </xdr:to>
    <xdr:pic>
      <xdr:nvPicPr>
        <xdr:cNvPr id="73" name="Picture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4906097" y="18719346"/>
          <a:ext cx="654503" cy="657224"/>
        </a:xfrm>
        <a:prstGeom prst="rect">
          <a:avLst/>
        </a:prstGeom>
      </xdr:spPr>
    </xdr:pic>
    <xdr:clientData/>
  </xdr:twoCellAnchor>
  <xdr:twoCellAnchor editAs="oneCell">
    <xdr:from>
      <xdr:col>1</xdr:col>
      <xdr:colOff>72846</xdr:colOff>
      <xdr:row>26</xdr:row>
      <xdr:rowOff>66676</xdr:rowOff>
    </xdr:from>
    <xdr:to>
      <xdr:col>1</xdr:col>
      <xdr:colOff>569493</xdr:colOff>
      <xdr:row>26</xdr:row>
      <xdr:rowOff>704851</xdr:rowOff>
    </xdr:to>
    <xdr:pic>
      <xdr:nvPicPr>
        <xdr:cNvPr id="76" name="Picture 75">
          <a:extLst>
            <a:ext uri="{FF2B5EF4-FFF2-40B4-BE49-F238E27FC236}">
              <a16:creationId xmlns:a16="http://schemas.microsoft.com/office/drawing/2014/main" id="{00000000-0008-0000-0700-00004C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a:ext>
          </a:extLst>
        </a:blip>
        <a:srcRect/>
        <a:stretch/>
      </xdr:blipFill>
      <xdr:spPr>
        <a:xfrm>
          <a:off x="4985025" y="19524890"/>
          <a:ext cx="496647" cy="628650"/>
        </a:xfrm>
        <a:prstGeom prst="rect">
          <a:avLst/>
        </a:prstGeom>
      </xdr:spPr>
    </xdr:pic>
    <xdr:clientData/>
  </xdr:twoCellAnchor>
  <xdr:twoCellAnchor editAs="oneCell">
    <xdr:from>
      <xdr:col>1</xdr:col>
      <xdr:colOff>3442</xdr:colOff>
      <xdr:row>27</xdr:row>
      <xdr:rowOff>0</xdr:rowOff>
    </xdr:from>
    <xdr:to>
      <xdr:col>1</xdr:col>
      <xdr:colOff>631276</xdr:colOff>
      <xdr:row>28</xdr:row>
      <xdr:rowOff>59</xdr:rowOff>
    </xdr:to>
    <xdr:pic>
      <xdr:nvPicPr>
        <xdr:cNvPr id="77" name="Picture 7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4915621" y="20206607"/>
          <a:ext cx="635454" cy="739199"/>
        </a:xfrm>
        <a:prstGeom prst="rect">
          <a:avLst/>
        </a:prstGeom>
      </xdr:spPr>
    </xdr:pic>
    <xdr:clientData/>
  </xdr:twoCellAnchor>
  <xdr:twoCellAnchor editAs="oneCell">
    <xdr:from>
      <xdr:col>0</xdr:col>
      <xdr:colOff>4907312</xdr:colOff>
      <xdr:row>28</xdr:row>
      <xdr:rowOff>19050</xdr:rowOff>
    </xdr:from>
    <xdr:to>
      <xdr:col>1</xdr:col>
      <xdr:colOff>647206</xdr:colOff>
      <xdr:row>29</xdr:row>
      <xdr:rowOff>0</xdr:rowOff>
    </xdr:to>
    <xdr:pic>
      <xdr:nvPicPr>
        <xdr:cNvPr id="78" name="Picture 77">
          <a:extLst>
            <a:ext uri="{FF2B5EF4-FFF2-40B4-BE49-F238E27FC236}">
              <a16:creationId xmlns:a16="http://schemas.microsoft.com/office/drawing/2014/main" id="{00000000-0008-0000-0700-00004E000000}"/>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a:ext>
          </a:extLst>
        </a:blip>
        <a:srcRect/>
        <a:stretch/>
      </xdr:blipFill>
      <xdr:spPr>
        <a:xfrm>
          <a:off x="4907312" y="20974050"/>
          <a:ext cx="652073" cy="714375"/>
        </a:xfrm>
        <a:prstGeom prst="rect">
          <a:avLst/>
        </a:prstGeom>
      </xdr:spPr>
    </xdr:pic>
    <xdr:clientData/>
  </xdr:twoCellAnchor>
  <xdr:twoCellAnchor editAs="oneCell">
    <xdr:from>
      <xdr:col>1</xdr:col>
      <xdr:colOff>30657</xdr:colOff>
      <xdr:row>30</xdr:row>
      <xdr:rowOff>19049</xdr:rowOff>
    </xdr:from>
    <xdr:to>
      <xdr:col>1</xdr:col>
      <xdr:colOff>611682</xdr:colOff>
      <xdr:row>30</xdr:row>
      <xdr:rowOff>708166</xdr:rowOff>
    </xdr:to>
    <xdr:pic>
      <xdr:nvPicPr>
        <xdr:cNvPr id="80" name="Picture 79">
          <a:extLst>
            <a:ext uri="{FF2B5EF4-FFF2-40B4-BE49-F238E27FC236}">
              <a16:creationId xmlns:a16="http://schemas.microsoft.com/office/drawing/2014/main" id="{00000000-0008-0000-0700-000050000000}"/>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a:ext>
          </a:extLst>
        </a:blip>
        <a:srcRect/>
        <a:stretch/>
      </xdr:blipFill>
      <xdr:spPr>
        <a:xfrm>
          <a:off x="4942836" y="22470835"/>
          <a:ext cx="581025" cy="696737"/>
        </a:xfrm>
        <a:prstGeom prst="rect">
          <a:avLst/>
        </a:prstGeom>
      </xdr:spPr>
    </xdr:pic>
    <xdr:clientData/>
  </xdr:twoCellAnchor>
  <xdr:twoCellAnchor editAs="oneCell">
    <xdr:from>
      <xdr:col>1</xdr:col>
      <xdr:colOff>30657</xdr:colOff>
      <xdr:row>32</xdr:row>
      <xdr:rowOff>9525</xdr:rowOff>
    </xdr:from>
    <xdr:to>
      <xdr:col>1</xdr:col>
      <xdr:colOff>611682</xdr:colOff>
      <xdr:row>32</xdr:row>
      <xdr:rowOff>739850</xdr:rowOff>
    </xdr:to>
    <xdr:pic>
      <xdr:nvPicPr>
        <xdr:cNvPr id="81" name="Picture 80">
          <a:extLst>
            <a:ext uri="{FF2B5EF4-FFF2-40B4-BE49-F238E27FC236}">
              <a16:creationId xmlns:a16="http://schemas.microsoft.com/office/drawing/2014/main" id="{00000000-0008-0000-0700-000051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a:ext>
          </a:extLst>
        </a:blip>
        <a:srcRect/>
        <a:stretch/>
      </xdr:blipFill>
      <xdr:spPr>
        <a:xfrm>
          <a:off x="4942836" y="23958096"/>
          <a:ext cx="581025" cy="718895"/>
        </a:xfrm>
        <a:prstGeom prst="rect">
          <a:avLst/>
        </a:prstGeom>
      </xdr:spPr>
    </xdr:pic>
    <xdr:clientData/>
  </xdr:twoCellAnchor>
  <xdr:twoCellAnchor editAs="oneCell">
    <xdr:from>
      <xdr:col>1</xdr:col>
      <xdr:colOff>16369</xdr:colOff>
      <xdr:row>34</xdr:row>
      <xdr:rowOff>9526</xdr:rowOff>
    </xdr:from>
    <xdr:to>
      <xdr:col>1</xdr:col>
      <xdr:colOff>629779</xdr:colOff>
      <xdr:row>35</xdr:row>
      <xdr:rowOff>15926</xdr:rowOff>
    </xdr:to>
    <xdr:pic>
      <xdr:nvPicPr>
        <xdr:cNvPr id="82" name="Picture 81">
          <a:extLst>
            <a:ext uri="{FF2B5EF4-FFF2-40B4-BE49-F238E27FC236}">
              <a16:creationId xmlns:a16="http://schemas.microsoft.com/office/drawing/2014/main" id="{00000000-0008-0000-0700-000052000000}"/>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a:ext>
          </a:extLst>
        </a:blip>
        <a:srcRect/>
        <a:stretch/>
      </xdr:blipFill>
      <xdr:spPr>
        <a:xfrm>
          <a:off x="4928548" y="25454883"/>
          <a:ext cx="609600" cy="747173"/>
        </a:xfrm>
        <a:prstGeom prst="rect">
          <a:avLst/>
        </a:prstGeom>
      </xdr:spPr>
    </xdr:pic>
    <xdr:clientData/>
  </xdr:twoCellAnchor>
  <xdr:twoCellAnchor editAs="oneCell">
    <xdr:from>
      <xdr:col>1</xdr:col>
      <xdr:colOff>30657</xdr:colOff>
      <xdr:row>29</xdr:row>
      <xdr:rowOff>19051</xdr:rowOff>
    </xdr:from>
    <xdr:to>
      <xdr:col>1</xdr:col>
      <xdr:colOff>611681</xdr:colOff>
      <xdr:row>30</xdr:row>
      <xdr:rowOff>3110</xdr:rowOff>
    </xdr:to>
    <xdr:pic>
      <xdr:nvPicPr>
        <xdr:cNvPr id="85" name="Picture 84">
          <a:extLst>
            <a:ext uri="{FF2B5EF4-FFF2-40B4-BE49-F238E27FC236}">
              <a16:creationId xmlns:a16="http://schemas.microsoft.com/office/drawing/2014/main" id="{00000000-0008-0000-0700-00005500000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a:stretch/>
      </xdr:blipFill>
      <xdr:spPr>
        <a:xfrm>
          <a:off x="4942836" y="21722444"/>
          <a:ext cx="581024" cy="732452"/>
        </a:xfrm>
        <a:prstGeom prst="rect">
          <a:avLst/>
        </a:prstGeom>
      </xdr:spPr>
    </xdr:pic>
    <xdr:clientData/>
  </xdr:twoCellAnchor>
  <xdr:twoCellAnchor editAs="oneCell">
    <xdr:from>
      <xdr:col>1</xdr:col>
      <xdr:colOff>59232</xdr:colOff>
      <xdr:row>42</xdr:row>
      <xdr:rowOff>47625</xdr:rowOff>
    </xdr:from>
    <xdr:to>
      <xdr:col>1</xdr:col>
      <xdr:colOff>586916</xdr:colOff>
      <xdr:row>42</xdr:row>
      <xdr:rowOff>701427</xdr:rowOff>
    </xdr:to>
    <xdr:pic>
      <xdr:nvPicPr>
        <xdr:cNvPr id="86" name="Picture 85">
          <a:extLst>
            <a:ext uri="{FF2B5EF4-FFF2-40B4-BE49-F238E27FC236}">
              <a16:creationId xmlns:a16="http://schemas.microsoft.com/office/drawing/2014/main" id="{00000000-0008-0000-0700-00005600000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a:stretch/>
      </xdr:blipFill>
      <xdr:spPr>
        <a:xfrm>
          <a:off x="4971411" y="31480125"/>
          <a:ext cx="523874" cy="649992"/>
        </a:xfrm>
        <a:prstGeom prst="rect">
          <a:avLst/>
        </a:prstGeom>
      </xdr:spPr>
    </xdr:pic>
    <xdr:clientData/>
  </xdr:twoCellAnchor>
  <xdr:twoCellAnchor editAs="oneCell">
    <xdr:from>
      <xdr:col>1</xdr:col>
      <xdr:colOff>18179</xdr:colOff>
      <xdr:row>8</xdr:row>
      <xdr:rowOff>47624</xdr:rowOff>
    </xdr:from>
    <xdr:to>
      <xdr:col>1</xdr:col>
      <xdr:colOff>627970</xdr:colOff>
      <xdr:row>8</xdr:row>
      <xdr:rowOff>723899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4930358" y="6034767"/>
          <a:ext cx="605981" cy="676275"/>
        </a:xfrm>
        <a:prstGeom prst="rect">
          <a:avLst/>
        </a:prstGeom>
      </xdr:spPr>
    </xdr:pic>
    <xdr:clientData/>
  </xdr:twoCellAnchor>
  <xdr:twoCellAnchor editAs="oneCell">
    <xdr:from>
      <xdr:col>1</xdr:col>
      <xdr:colOff>35419</xdr:colOff>
      <xdr:row>12</xdr:row>
      <xdr:rowOff>9526</xdr:rowOff>
    </xdr:from>
    <xdr:to>
      <xdr:col>1</xdr:col>
      <xdr:colOff>606919</xdr:colOff>
      <xdr:row>12</xdr:row>
      <xdr:rowOff>702116</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a:ext>
          </a:extLst>
        </a:blip>
        <a:stretch>
          <a:fillRect/>
        </a:stretch>
      </xdr:blipFill>
      <xdr:spPr>
        <a:xfrm>
          <a:off x="4947598" y="8990240"/>
          <a:ext cx="571500" cy="684970"/>
        </a:xfrm>
        <a:prstGeom prst="rect">
          <a:avLst/>
        </a:prstGeom>
      </xdr:spPr>
    </xdr:pic>
    <xdr:clientData/>
  </xdr:twoCellAnchor>
  <xdr:twoCellAnchor editAs="oneCell">
    <xdr:from>
      <xdr:col>1</xdr:col>
      <xdr:colOff>16369</xdr:colOff>
      <xdr:row>12</xdr:row>
      <xdr:rowOff>723900</xdr:rowOff>
    </xdr:from>
    <xdr:to>
      <xdr:col>1</xdr:col>
      <xdr:colOff>624840</xdr:colOff>
      <xdr:row>13</xdr:row>
      <xdr:rowOff>725627</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a:ext>
          </a:extLst>
        </a:blip>
        <a:srcRect r="4624"/>
        <a:stretch/>
      </xdr:blipFill>
      <xdr:spPr>
        <a:xfrm>
          <a:off x="4921744" y="9639300"/>
          <a:ext cx="612281" cy="744677"/>
        </a:xfrm>
        <a:prstGeom prst="rect">
          <a:avLst/>
        </a:prstGeom>
      </xdr:spPr>
    </xdr:pic>
    <xdr:clientData/>
  </xdr:twoCellAnchor>
  <xdr:twoCellAnchor editAs="oneCell">
    <xdr:from>
      <xdr:col>1</xdr:col>
      <xdr:colOff>16369</xdr:colOff>
      <xdr:row>22</xdr:row>
      <xdr:rowOff>0</xdr:rowOff>
    </xdr:from>
    <xdr:to>
      <xdr:col>1</xdr:col>
      <xdr:colOff>629779</xdr:colOff>
      <xdr:row>23</xdr:row>
      <xdr:rowOff>2485</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a:ext>
          </a:extLst>
        </a:blip>
        <a:srcRect/>
        <a:stretch/>
      </xdr:blipFill>
      <xdr:spPr>
        <a:xfrm>
          <a:off x="4928548" y="16464643"/>
          <a:ext cx="609600" cy="750878"/>
        </a:xfrm>
        <a:prstGeom prst="rect">
          <a:avLst/>
        </a:prstGeom>
      </xdr:spPr>
    </xdr:pic>
    <xdr:clientData/>
  </xdr:twoCellAnchor>
  <xdr:twoCellAnchor editAs="oneCell">
    <xdr:from>
      <xdr:col>1</xdr:col>
      <xdr:colOff>3442</xdr:colOff>
      <xdr:row>37</xdr:row>
      <xdr:rowOff>-1</xdr:rowOff>
    </xdr:from>
    <xdr:to>
      <xdr:col>1</xdr:col>
      <xdr:colOff>631276</xdr:colOff>
      <xdr:row>38</xdr:row>
      <xdr:rowOff>1299</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a:ext>
          </a:extLst>
        </a:blip>
        <a:srcRect/>
        <a:stretch/>
      </xdr:blipFill>
      <xdr:spPr>
        <a:xfrm>
          <a:off x="4915621" y="27690535"/>
          <a:ext cx="635454" cy="734725"/>
        </a:xfrm>
        <a:prstGeom prst="rect">
          <a:avLst/>
        </a:prstGeom>
      </xdr:spPr>
    </xdr:pic>
    <xdr:clientData/>
  </xdr:twoCellAnchor>
  <xdr:twoCellAnchor editAs="oneCell">
    <xdr:from>
      <xdr:col>0</xdr:col>
      <xdr:colOff>4896572</xdr:colOff>
      <xdr:row>45</xdr:row>
      <xdr:rowOff>19051</xdr:rowOff>
    </xdr:from>
    <xdr:to>
      <xdr:col>1</xdr:col>
      <xdr:colOff>667471</xdr:colOff>
      <xdr:row>45</xdr:row>
      <xdr:rowOff>704850</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a:ext>
          </a:extLst>
        </a:blip>
        <a:stretch>
          <a:fillRect/>
        </a:stretch>
      </xdr:blipFill>
      <xdr:spPr>
        <a:xfrm>
          <a:off x="4896572" y="33696730"/>
          <a:ext cx="673553" cy="676274"/>
        </a:xfrm>
        <a:prstGeom prst="rect">
          <a:avLst/>
        </a:prstGeom>
      </xdr:spPr>
    </xdr:pic>
    <xdr:clientData/>
  </xdr:twoCellAnchor>
  <xdr:twoCellAnchor editAs="oneCell">
    <xdr:from>
      <xdr:col>1</xdr:col>
      <xdr:colOff>25894</xdr:colOff>
      <xdr:row>47</xdr:row>
      <xdr:rowOff>9525</xdr:rowOff>
    </xdr:from>
    <xdr:to>
      <xdr:col>1</xdr:col>
      <xdr:colOff>629779</xdr:colOff>
      <xdr:row>48</xdr:row>
      <xdr:rowOff>19199</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a:ext>
          </a:extLst>
        </a:blip>
        <a:srcRect/>
        <a:stretch/>
      </xdr:blipFill>
      <xdr:spPr>
        <a:xfrm>
          <a:off x="4938073" y="35183989"/>
          <a:ext cx="590550" cy="761877"/>
        </a:xfrm>
        <a:prstGeom prst="rect">
          <a:avLst/>
        </a:prstGeom>
      </xdr:spPr>
    </xdr:pic>
    <xdr:clientData/>
  </xdr:twoCellAnchor>
  <xdr:twoCellAnchor editAs="oneCell">
    <xdr:from>
      <xdr:col>0</xdr:col>
      <xdr:colOff>4901334</xdr:colOff>
      <xdr:row>52</xdr:row>
      <xdr:rowOff>57150</xdr:rowOff>
    </xdr:from>
    <xdr:to>
      <xdr:col>1</xdr:col>
      <xdr:colOff>664614</xdr:colOff>
      <xdr:row>52</xdr:row>
      <xdr:rowOff>593475</xdr:rowOff>
    </xdr:to>
    <xdr:pic>
      <xdr:nvPicPr>
        <xdr:cNvPr id="22" name="Picture 2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a:ext>
          </a:extLst>
        </a:blip>
        <a:stretch>
          <a:fillRect/>
        </a:stretch>
      </xdr:blipFill>
      <xdr:spPr>
        <a:xfrm>
          <a:off x="4901334" y="38225186"/>
          <a:ext cx="664029" cy="547755"/>
        </a:xfrm>
        <a:prstGeom prst="rect">
          <a:avLst/>
        </a:prstGeom>
      </xdr:spPr>
    </xdr:pic>
    <xdr:clientData/>
  </xdr:twoCellAnchor>
  <xdr:twoCellAnchor editAs="oneCell">
    <xdr:from>
      <xdr:col>1</xdr:col>
      <xdr:colOff>9335</xdr:colOff>
      <xdr:row>53</xdr:row>
      <xdr:rowOff>247651</xdr:rowOff>
    </xdr:from>
    <xdr:to>
      <xdr:col>1</xdr:col>
      <xdr:colOff>629193</xdr:colOff>
      <xdr:row>53</xdr:row>
      <xdr:rowOff>472441</xdr:rowOff>
    </xdr:to>
    <xdr:pic>
      <xdr:nvPicPr>
        <xdr:cNvPr id="23" name="Picture 22">
          <a:extLst>
            <a:ext uri="{FF2B5EF4-FFF2-40B4-BE49-F238E27FC236}">
              <a16:creationId xmlns:a16="http://schemas.microsoft.com/office/drawing/2014/main" id="{00000000-0008-0000-0700-000017000000}"/>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a:ext>
          </a:extLst>
        </a:blip>
        <a:srcRect/>
        <a:stretch/>
      </xdr:blipFill>
      <xdr:spPr>
        <a:xfrm>
          <a:off x="4921514" y="39164080"/>
          <a:ext cx="623668" cy="228600"/>
        </a:xfrm>
        <a:prstGeom prst="rect">
          <a:avLst/>
        </a:prstGeom>
      </xdr:spPr>
    </xdr:pic>
    <xdr:clientData/>
  </xdr:twoCellAnchor>
  <xdr:twoCellAnchor editAs="oneCell">
    <xdr:from>
      <xdr:col>1</xdr:col>
      <xdr:colOff>21132</xdr:colOff>
      <xdr:row>4</xdr:row>
      <xdr:rowOff>19051</xdr:rowOff>
    </xdr:from>
    <xdr:to>
      <xdr:col>1</xdr:col>
      <xdr:colOff>625017</xdr:colOff>
      <xdr:row>5</xdr:row>
      <xdr:rowOff>16193</xdr:rowOff>
    </xdr:to>
    <xdr:pic>
      <xdr:nvPicPr>
        <xdr:cNvPr id="25" name="Picture 24">
          <a:extLst>
            <a:ext uri="{FF2B5EF4-FFF2-40B4-BE49-F238E27FC236}">
              <a16:creationId xmlns:a16="http://schemas.microsoft.com/office/drawing/2014/main" id="{00000000-0008-0000-0700-000019000000}"/>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a:ext>
          </a:extLst>
        </a:blip>
        <a:srcRect/>
        <a:stretch/>
      </xdr:blipFill>
      <xdr:spPr>
        <a:xfrm>
          <a:off x="4933311" y="3012622"/>
          <a:ext cx="600075" cy="734105"/>
        </a:xfrm>
        <a:prstGeom prst="rect">
          <a:avLst/>
        </a:prstGeom>
      </xdr:spPr>
    </xdr:pic>
    <xdr:clientData/>
  </xdr:twoCellAnchor>
  <xdr:twoCellAnchor editAs="oneCell">
    <xdr:from>
      <xdr:col>1</xdr:col>
      <xdr:colOff>54469</xdr:colOff>
      <xdr:row>5</xdr:row>
      <xdr:rowOff>28576</xdr:rowOff>
    </xdr:from>
    <xdr:to>
      <xdr:col>1</xdr:col>
      <xdr:colOff>591679</xdr:colOff>
      <xdr:row>5</xdr:row>
      <xdr:rowOff>720992</xdr:rowOff>
    </xdr:to>
    <xdr:pic>
      <xdr:nvPicPr>
        <xdr:cNvPr id="27" name="Picture 26">
          <a:extLst>
            <a:ext uri="{FF2B5EF4-FFF2-40B4-BE49-F238E27FC236}">
              <a16:creationId xmlns:a16="http://schemas.microsoft.com/office/drawing/2014/main" id="{00000000-0008-0000-0700-00001B000000}"/>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a:ext>
          </a:extLst>
        </a:blip>
        <a:srcRect/>
        <a:stretch/>
      </xdr:blipFill>
      <xdr:spPr>
        <a:xfrm>
          <a:off x="4966648" y="3770540"/>
          <a:ext cx="533400" cy="692416"/>
        </a:xfrm>
        <a:prstGeom prst="rect">
          <a:avLst/>
        </a:prstGeom>
      </xdr:spPr>
    </xdr:pic>
    <xdr:clientData/>
  </xdr:twoCellAnchor>
  <xdr:twoCellAnchor editAs="oneCell">
    <xdr:from>
      <xdr:col>1</xdr:col>
      <xdr:colOff>45653</xdr:colOff>
      <xdr:row>15</xdr:row>
      <xdr:rowOff>28576</xdr:rowOff>
    </xdr:from>
    <xdr:to>
      <xdr:col>1</xdr:col>
      <xdr:colOff>592876</xdr:colOff>
      <xdr:row>15</xdr:row>
      <xdr:rowOff>704851</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a:ext>
          </a:extLst>
        </a:blip>
        <a:stretch>
          <a:fillRect/>
        </a:stretch>
      </xdr:blipFill>
      <xdr:spPr>
        <a:xfrm>
          <a:off x="4957832" y="11254469"/>
          <a:ext cx="551033" cy="666750"/>
        </a:xfrm>
        <a:prstGeom prst="rect">
          <a:avLst/>
        </a:prstGeom>
      </xdr:spPr>
    </xdr:pic>
    <xdr:clientData/>
  </xdr:twoCellAnchor>
  <xdr:twoCellAnchor editAs="oneCell">
    <xdr:from>
      <xdr:col>1</xdr:col>
      <xdr:colOff>21132</xdr:colOff>
      <xdr:row>13</xdr:row>
      <xdr:rowOff>733425</xdr:rowOff>
    </xdr:from>
    <xdr:to>
      <xdr:col>1</xdr:col>
      <xdr:colOff>625017</xdr:colOff>
      <xdr:row>15</xdr:row>
      <xdr:rowOff>1429</xdr:rowOff>
    </xdr:to>
    <xdr:pic>
      <xdr:nvPicPr>
        <xdr:cNvPr id="31" name="Picture 30">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a:ext>
          </a:extLst>
        </a:blip>
        <a:stretch>
          <a:fillRect/>
        </a:stretch>
      </xdr:blipFill>
      <xdr:spPr>
        <a:xfrm>
          <a:off x="4933311" y="10462532"/>
          <a:ext cx="600075" cy="755537"/>
        </a:xfrm>
        <a:prstGeom prst="rect">
          <a:avLst/>
        </a:prstGeom>
      </xdr:spPr>
    </xdr:pic>
    <xdr:clientData/>
  </xdr:twoCellAnchor>
  <xdr:twoCellAnchor editAs="oneCell">
    <xdr:from>
      <xdr:col>1</xdr:col>
      <xdr:colOff>40487</xdr:colOff>
      <xdr:row>6</xdr:row>
      <xdr:rowOff>54731</xdr:rowOff>
    </xdr:from>
    <xdr:to>
      <xdr:col>2</xdr:col>
      <xdr:colOff>2058</xdr:colOff>
      <xdr:row>6</xdr:row>
      <xdr:rowOff>627637</xdr:rowOff>
    </xdr:to>
    <xdr:pic>
      <xdr:nvPicPr>
        <xdr:cNvPr id="37" name="Picture 36">
          <a:extLst>
            <a:ext uri="{FF2B5EF4-FFF2-40B4-BE49-F238E27FC236}">
              <a16:creationId xmlns:a16="http://schemas.microsoft.com/office/drawing/2014/main" id="{00000000-0008-0000-0700-000025000000}"/>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a:ext>
          </a:extLst>
        </a:blip>
        <a:srcRect/>
        <a:stretch/>
      </xdr:blipFill>
      <xdr:spPr>
        <a:xfrm>
          <a:off x="4945862" y="4512431"/>
          <a:ext cx="660071" cy="586241"/>
        </a:xfrm>
        <a:prstGeom prst="rect">
          <a:avLst/>
        </a:prstGeom>
      </xdr:spPr>
    </xdr:pic>
    <xdr:clientData/>
  </xdr:twoCellAnchor>
  <xdr:twoCellAnchor editAs="oneCell">
    <xdr:from>
      <xdr:col>1</xdr:col>
      <xdr:colOff>40024</xdr:colOff>
      <xdr:row>51</xdr:row>
      <xdr:rowOff>57150</xdr:rowOff>
    </xdr:from>
    <xdr:to>
      <xdr:col>1</xdr:col>
      <xdr:colOff>629766</xdr:colOff>
      <xdr:row>51</xdr:row>
      <xdr:rowOff>723900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53">
          <a:extLst>
            <a:ext uri="{28A0092B-C50C-407E-A947-70E740481C1C}">
              <a14:useLocalDpi xmlns:a14="http://schemas.microsoft.com/office/drawing/2010/main" val="0"/>
            </a:ext>
          </a:extLst>
        </a:blip>
        <a:srcRect l="6596" t="6768" r="6992" b="4694"/>
        <a:stretch/>
      </xdr:blipFill>
      <xdr:spPr>
        <a:xfrm>
          <a:off x="4764424" y="37947600"/>
          <a:ext cx="585932" cy="666750"/>
        </a:xfrm>
        <a:prstGeom prst="rect">
          <a:avLst/>
        </a:prstGeom>
      </xdr:spPr>
    </xdr:pic>
    <xdr:clientData/>
  </xdr:twoCellAnchor>
  <xdr:oneCellAnchor>
    <xdr:from>
      <xdr:col>1</xdr:col>
      <xdr:colOff>183695</xdr:colOff>
      <xdr:row>55</xdr:row>
      <xdr:rowOff>209550</xdr:rowOff>
    </xdr:from>
    <xdr:ext cx="423206" cy="504825"/>
    <xdr:pic>
      <xdr:nvPicPr>
        <xdr:cNvPr id="5" name="Picture 4">
          <a:extLst>
            <a:ext uri="{FF2B5EF4-FFF2-40B4-BE49-F238E27FC236}">
              <a16:creationId xmlns:a16="http://schemas.microsoft.com/office/drawing/2014/main" id="{6FF7322D-B7BA-4188-AE34-7C30BD1C102F}"/>
            </a:ext>
          </a:extLst>
        </xdr:cNvPr>
        <xdr:cNvPicPr preferRelativeResize="0">
          <a:picLocks noChangeAspect="1" noChangeArrowheads="1"/>
        </xdr:cNvPicPr>
      </xdr:nvPicPr>
      <xdr:blipFill>
        <a:blip xmlns:r="http://schemas.openxmlformats.org/officeDocument/2006/relationships" r:embed="rId54"/>
        <a:srcRect/>
        <a:stretch/>
      </xdr:blipFill>
      <xdr:spPr bwMode="auto">
        <a:xfrm>
          <a:off x="4972865" y="41810940"/>
          <a:ext cx="423206" cy="504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179885</xdr:colOff>
      <xdr:row>56</xdr:row>
      <xdr:rowOff>180308</xdr:rowOff>
    </xdr:from>
    <xdr:ext cx="423206" cy="490918"/>
    <xdr:pic>
      <xdr:nvPicPr>
        <xdr:cNvPr id="8" name="Picture 7">
          <a:extLst>
            <a:ext uri="{FF2B5EF4-FFF2-40B4-BE49-F238E27FC236}">
              <a16:creationId xmlns:a16="http://schemas.microsoft.com/office/drawing/2014/main" id="{666FF944-87A2-44F9-BD3F-84A7503BAC84}"/>
            </a:ext>
          </a:extLst>
        </xdr:cNvPr>
        <xdr:cNvPicPr preferRelativeResize="0">
          <a:picLocks noChangeAspect="1" noChangeArrowheads="1"/>
        </xdr:cNvPicPr>
      </xdr:nvPicPr>
      <xdr:blipFill>
        <a:blip xmlns:r="http://schemas.openxmlformats.org/officeDocument/2006/relationships" r:embed="rId55"/>
        <a:srcRect/>
        <a:stretch/>
      </xdr:blipFill>
      <xdr:spPr bwMode="auto">
        <a:xfrm>
          <a:off x="4969055" y="42526553"/>
          <a:ext cx="423206" cy="4909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177980</xdr:colOff>
      <xdr:row>57</xdr:row>
      <xdr:rowOff>224706</xdr:rowOff>
    </xdr:from>
    <xdr:ext cx="423206" cy="398311"/>
    <xdr:pic>
      <xdr:nvPicPr>
        <xdr:cNvPr id="10" name="Picture 9">
          <a:extLst>
            <a:ext uri="{FF2B5EF4-FFF2-40B4-BE49-F238E27FC236}">
              <a16:creationId xmlns:a16="http://schemas.microsoft.com/office/drawing/2014/main" id="{0034452C-399D-4238-80EE-E42CA927507F}"/>
            </a:ext>
          </a:extLst>
        </xdr:cNvPr>
        <xdr:cNvPicPr preferRelativeResize="0">
          <a:picLocks noChangeAspect="1" noChangeArrowheads="1"/>
        </xdr:cNvPicPr>
      </xdr:nvPicPr>
      <xdr:blipFill>
        <a:blip xmlns:r="http://schemas.openxmlformats.org/officeDocument/2006/relationships" r:embed="rId56"/>
        <a:srcRect/>
        <a:stretch/>
      </xdr:blipFill>
      <xdr:spPr bwMode="auto">
        <a:xfrm>
          <a:off x="4965245" y="43313901"/>
          <a:ext cx="423206" cy="3983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114301</xdr:colOff>
      <xdr:row>39</xdr:row>
      <xdr:rowOff>28575</xdr:rowOff>
    </xdr:from>
    <xdr:to>
      <xdr:col>1</xdr:col>
      <xdr:colOff>564217</xdr:colOff>
      <xdr:row>39</xdr:row>
      <xdr:rowOff>723900</xdr:rowOff>
    </xdr:to>
    <xdr:pic>
      <xdr:nvPicPr>
        <xdr:cNvPr id="59" name="Picture 58"/>
        <xdr:cNvPicPr>
          <a:picLocks noChangeAspect="1" noChangeArrowheads="1"/>
        </xdr:cNvPicPr>
      </xdr:nvPicPr>
      <xdr:blipFill rotWithShape="1">
        <a:blip xmlns:r="http://schemas.openxmlformats.org/officeDocument/2006/relationships" r:embed="rId57">
          <a:extLst>
            <a:ext uri="{28A0092B-C50C-407E-A947-70E740481C1C}">
              <a14:useLocalDpi xmlns:a14="http://schemas.microsoft.com/office/drawing/2010/main" val="0"/>
            </a:ext>
          </a:extLst>
        </a:blip>
        <a:srcRect r="26220" b="6031"/>
        <a:stretch/>
      </xdr:blipFill>
      <xdr:spPr bwMode="auto">
        <a:xfrm>
          <a:off x="5019676" y="29003625"/>
          <a:ext cx="44991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171"/>
  <sheetViews>
    <sheetView showGridLines="0" tabSelected="1" zoomScaleNormal="100" zoomScaleSheetLayoutView="75" zoomScalePageLayoutView="75" workbookViewId="0">
      <selection activeCell="B21" sqref="B21:E21"/>
    </sheetView>
  </sheetViews>
  <sheetFormatPr defaultColWidth="8.88671875" defaultRowHeight="15.75"/>
  <cols>
    <col min="1" max="1" width="3.33203125" style="98" customWidth="1"/>
    <col min="2" max="2" width="12.77734375" style="37" customWidth="1"/>
    <col min="3" max="3" width="10.88671875" style="37" customWidth="1"/>
    <col min="4" max="4" width="19.6640625" style="37" customWidth="1"/>
    <col min="5" max="5" width="19.44140625" style="37" customWidth="1"/>
    <col min="6" max="6" width="16.33203125" style="37" bestFit="1" customWidth="1"/>
    <col min="7" max="8" width="8" style="37" customWidth="1"/>
    <col min="9" max="9" width="8.6640625" style="37" customWidth="1"/>
    <col min="10" max="10" width="4.21875" style="37" customWidth="1"/>
    <col min="11" max="11" width="12.44140625" style="37" customWidth="1"/>
    <col min="12" max="12" width="12.6640625" style="37" customWidth="1"/>
    <col min="13" max="13" width="9.6640625" style="37" customWidth="1"/>
    <col min="14" max="14" width="13.77734375" style="37" customWidth="1"/>
    <col min="15" max="15" width="11.21875" style="97" customWidth="1"/>
    <col min="16" max="19" width="8.88671875" style="97"/>
    <col min="20" max="16384" width="8.88671875" style="98"/>
  </cols>
  <sheetData>
    <row r="1" spans="1:19" ht="16.5" thickBot="1">
      <c r="A1" s="94"/>
      <c r="B1" s="95"/>
      <c r="C1" s="95"/>
      <c r="D1" s="95"/>
      <c r="E1" s="95"/>
      <c r="F1" s="95"/>
      <c r="G1" s="95"/>
      <c r="H1" s="95"/>
      <c r="I1" s="95"/>
      <c r="J1" s="95"/>
      <c r="K1" s="95"/>
      <c r="L1" s="95"/>
      <c r="M1" s="95"/>
      <c r="N1" s="95"/>
      <c r="O1" s="96"/>
    </row>
    <row r="2" spans="1:19">
      <c r="B2" s="99"/>
      <c r="N2" s="516"/>
      <c r="O2" s="519"/>
    </row>
    <row r="3" spans="1:19">
      <c r="B3" s="99"/>
      <c r="N3" s="516"/>
      <c r="O3" s="520"/>
    </row>
    <row r="4" spans="1:19">
      <c r="B4" s="99"/>
      <c r="N4" s="516"/>
      <c r="O4" s="520"/>
      <c r="P4" s="96"/>
    </row>
    <row r="5" spans="1:19" ht="15.75" customHeight="1">
      <c r="B5" s="100"/>
      <c r="C5" s="101"/>
      <c r="D5" s="101"/>
      <c r="E5" s="676" t="s">
        <v>532</v>
      </c>
      <c r="F5" s="677"/>
      <c r="G5" s="677"/>
      <c r="H5" s="677"/>
      <c r="I5" s="677"/>
      <c r="J5" s="677"/>
      <c r="K5" s="677"/>
      <c r="L5" s="101"/>
      <c r="M5" s="101"/>
      <c r="N5" s="517"/>
      <c r="O5" s="520"/>
      <c r="P5" s="96"/>
    </row>
    <row r="6" spans="1:19" ht="15.75" customHeight="1">
      <c r="B6" s="100"/>
      <c r="C6" s="101"/>
      <c r="D6" s="101"/>
      <c r="E6" s="677"/>
      <c r="F6" s="677"/>
      <c r="G6" s="677"/>
      <c r="H6" s="677"/>
      <c r="I6" s="677"/>
      <c r="J6" s="677"/>
      <c r="K6" s="677"/>
      <c r="L6" s="101"/>
      <c r="M6" s="101"/>
      <c r="N6" s="517"/>
      <c r="O6" s="520"/>
    </row>
    <row r="7" spans="1:19" ht="18.75" customHeight="1">
      <c r="B7" s="679"/>
      <c r="C7" s="680"/>
      <c r="D7" s="680"/>
      <c r="E7" s="677"/>
      <c r="F7" s="677"/>
      <c r="G7" s="677"/>
      <c r="H7" s="677"/>
      <c r="I7" s="677"/>
      <c r="J7" s="677"/>
      <c r="K7" s="677"/>
      <c r="L7" s="681"/>
      <c r="M7" s="681"/>
      <c r="N7" s="681"/>
      <c r="O7" s="520"/>
      <c r="P7" s="96"/>
    </row>
    <row r="8" spans="1:19" ht="18" customHeight="1">
      <c r="B8" s="679"/>
      <c r="C8" s="680"/>
      <c r="D8" s="680"/>
      <c r="E8" s="677"/>
      <c r="F8" s="677"/>
      <c r="G8" s="677"/>
      <c r="H8" s="677"/>
      <c r="I8" s="677"/>
      <c r="J8" s="677"/>
      <c r="K8" s="677"/>
      <c r="L8" s="681"/>
      <c r="M8" s="681"/>
      <c r="N8" s="681"/>
      <c r="O8" s="520"/>
    </row>
    <row r="9" spans="1:19" ht="18" customHeight="1">
      <c r="B9" s="679"/>
      <c r="C9" s="680"/>
      <c r="D9" s="680"/>
      <c r="E9" s="677"/>
      <c r="F9" s="677"/>
      <c r="G9" s="677"/>
      <c r="H9" s="677"/>
      <c r="I9" s="677"/>
      <c r="J9" s="677"/>
      <c r="K9" s="677"/>
      <c r="L9" s="681"/>
      <c r="M9" s="681"/>
      <c r="N9" s="681"/>
      <c r="O9" s="520"/>
    </row>
    <row r="10" spans="1:19" ht="15.75" customHeight="1">
      <c r="B10" s="679"/>
      <c r="C10" s="680"/>
      <c r="D10" s="680"/>
      <c r="E10" s="677"/>
      <c r="F10" s="677"/>
      <c r="G10" s="677"/>
      <c r="H10" s="677"/>
      <c r="I10" s="677"/>
      <c r="J10" s="677"/>
      <c r="K10" s="677"/>
      <c r="L10" s="681"/>
      <c r="M10" s="681"/>
      <c r="N10" s="681"/>
      <c r="O10" s="520"/>
    </row>
    <row r="11" spans="1:19" ht="15.75" customHeight="1">
      <c r="B11" s="679"/>
      <c r="C11" s="680"/>
      <c r="D11" s="680"/>
      <c r="E11" s="677"/>
      <c r="F11" s="677"/>
      <c r="G11" s="677"/>
      <c r="H11" s="677"/>
      <c r="I11" s="677"/>
      <c r="J11" s="677"/>
      <c r="K11" s="677"/>
      <c r="L11" s="681"/>
      <c r="M11" s="681"/>
      <c r="N11" s="681"/>
      <c r="O11" s="520"/>
      <c r="S11" s="97" t="s">
        <v>531</v>
      </c>
    </row>
    <row r="12" spans="1:19" ht="18" customHeight="1" thickBot="1">
      <c r="B12" s="104"/>
      <c r="C12" s="105"/>
      <c r="D12" s="105"/>
      <c r="E12" s="678"/>
      <c r="F12" s="678"/>
      <c r="G12" s="678"/>
      <c r="H12" s="678"/>
      <c r="I12" s="678"/>
      <c r="J12" s="678"/>
      <c r="K12" s="678"/>
      <c r="L12" s="107"/>
      <c r="M12" s="107"/>
      <c r="N12" s="515"/>
      <c r="O12" s="520"/>
    </row>
    <row r="13" spans="1:19" ht="14.25" customHeight="1">
      <c r="B13" s="109"/>
      <c r="C13" s="110"/>
      <c r="D13" s="110"/>
      <c r="E13" s="110"/>
      <c r="F13" s="98"/>
      <c r="G13" s="98"/>
      <c r="H13" s="110"/>
      <c r="I13" s="110"/>
      <c r="J13" s="110"/>
      <c r="K13" s="110"/>
      <c r="L13" s="110"/>
      <c r="M13" s="110"/>
      <c r="N13" s="94"/>
      <c r="O13" s="520"/>
    </row>
    <row r="14" spans="1:19" ht="14.25" customHeight="1">
      <c r="B14" s="109"/>
      <c r="C14" s="110"/>
      <c r="D14" s="110"/>
      <c r="E14" s="110"/>
      <c r="F14" s="98"/>
      <c r="G14" s="98"/>
      <c r="H14" s="110"/>
      <c r="I14" s="110"/>
      <c r="J14" s="110"/>
      <c r="K14" s="110"/>
      <c r="L14" s="110"/>
      <c r="M14" s="110"/>
      <c r="N14" s="94"/>
      <c r="O14" s="520"/>
    </row>
    <row r="15" spans="1:19" ht="14.25" customHeight="1">
      <c r="B15" s="109"/>
      <c r="C15" s="110"/>
      <c r="D15" s="110"/>
      <c r="E15" s="110"/>
      <c r="F15" s="98"/>
      <c r="G15" s="98"/>
      <c r="H15" s="110"/>
      <c r="I15" s="110"/>
      <c r="J15" s="110"/>
      <c r="K15" s="110"/>
      <c r="L15" s="110"/>
      <c r="M15" s="110"/>
      <c r="N15" s="94"/>
      <c r="O15" s="520"/>
    </row>
    <row r="16" spans="1:19" ht="14.25" customHeight="1">
      <c r="B16" s="109"/>
      <c r="C16" s="110"/>
      <c r="D16" s="110"/>
      <c r="E16" s="110"/>
      <c r="F16" s="98"/>
      <c r="G16" s="98"/>
      <c r="H16" s="110"/>
      <c r="I16" s="110"/>
      <c r="J16" s="110"/>
      <c r="K16" s="110"/>
      <c r="L16" s="110"/>
      <c r="M16" s="110"/>
      <c r="N16" s="94"/>
      <c r="O16" s="520"/>
    </row>
    <row r="17" spans="2:19" s="112" customFormat="1" ht="18.75">
      <c r="B17" s="688" t="s">
        <v>252</v>
      </c>
      <c r="C17" s="689"/>
      <c r="D17" s="689"/>
      <c r="E17" s="689"/>
      <c r="F17" s="689"/>
      <c r="G17" s="689"/>
      <c r="H17" s="689"/>
      <c r="I17" s="689"/>
      <c r="J17" s="689"/>
      <c r="K17" s="689"/>
      <c r="L17" s="689"/>
      <c r="M17" s="689"/>
      <c r="N17" s="689"/>
      <c r="O17" s="690"/>
    </row>
    <row r="18" spans="2:19" ht="14.25" customHeight="1">
      <c r="B18" s="109"/>
      <c r="C18" s="110"/>
      <c r="D18" s="110"/>
      <c r="E18" s="110"/>
      <c r="F18" s="98"/>
      <c r="G18" s="98"/>
      <c r="H18" s="110"/>
      <c r="I18" s="110"/>
      <c r="J18" s="110"/>
      <c r="K18" s="110"/>
      <c r="L18" s="110"/>
      <c r="M18" s="110"/>
      <c r="N18" s="94"/>
      <c r="O18" s="520"/>
    </row>
    <row r="19" spans="2:19" s="115" customFormat="1" ht="18.75">
      <c r="B19" s="116" t="s">
        <v>155</v>
      </c>
      <c r="C19" s="117"/>
      <c r="D19" s="117"/>
      <c r="E19" s="117"/>
      <c r="F19" s="117"/>
      <c r="G19" s="117"/>
      <c r="H19" s="117"/>
      <c r="I19" s="682" t="s">
        <v>156</v>
      </c>
      <c r="J19" s="682"/>
      <c r="K19" s="682"/>
      <c r="L19" s="682"/>
      <c r="M19" s="682"/>
      <c r="N19" s="682"/>
      <c r="O19" s="522"/>
      <c r="P19" s="118"/>
      <c r="Q19" s="118"/>
      <c r="R19" s="118"/>
      <c r="S19" s="118"/>
    </row>
    <row r="20" spans="2:19" ht="18" customHeight="1" thickBot="1">
      <c r="B20" s="119"/>
      <c r="C20" s="98"/>
      <c r="D20" s="98"/>
      <c r="E20" s="98"/>
      <c r="F20" s="98"/>
      <c r="G20" s="98"/>
      <c r="H20" s="98"/>
      <c r="I20" s="98"/>
      <c r="J20" s="98"/>
      <c r="K20" s="98"/>
      <c r="L20" s="98"/>
      <c r="M20" s="98"/>
      <c r="N20" s="94"/>
      <c r="O20" s="520"/>
    </row>
    <row r="21" spans="2:19" s="120" customFormat="1" ht="27.75" customHeight="1" thickTop="1" thickBot="1">
      <c r="B21" s="684" t="s">
        <v>7</v>
      </c>
      <c r="C21" s="685"/>
      <c r="D21" s="685"/>
      <c r="E21" s="686"/>
      <c r="I21" s="687" t="s">
        <v>7</v>
      </c>
      <c r="J21" s="685"/>
      <c r="K21" s="685"/>
      <c r="L21" s="685"/>
      <c r="M21" s="685"/>
      <c r="N21" s="685"/>
      <c r="O21" s="526"/>
      <c r="P21" s="121"/>
      <c r="Q21" s="121"/>
      <c r="R21" s="121"/>
      <c r="S21" s="121"/>
    </row>
    <row r="22" spans="2:19" s="122" customFormat="1" ht="22.5" customHeight="1" thickTop="1" thickBot="1">
      <c r="B22" s="123"/>
      <c r="C22" s="124"/>
      <c r="D22" s="124"/>
      <c r="E22" s="124"/>
      <c r="I22" s="124"/>
      <c r="J22" s="124"/>
      <c r="K22" s="124"/>
      <c r="L22" s="124"/>
      <c r="M22" s="124"/>
      <c r="N22" s="512"/>
      <c r="O22" s="524"/>
      <c r="P22" s="125"/>
      <c r="Q22" s="125"/>
      <c r="R22" s="125"/>
      <c r="S22" s="125"/>
    </row>
    <row r="23" spans="2:19">
      <c r="B23" s="126" t="s">
        <v>140</v>
      </c>
      <c r="C23" s="98"/>
      <c r="D23" s="98"/>
      <c r="E23" s="691" t="s">
        <v>376</v>
      </c>
      <c r="F23" s="692"/>
      <c r="G23" s="692"/>
      <c r="H23" s="693"/>
      <c r="I23" s="127"/>
      <c r="J23" s="127" t="s">
        <v>191</v>
      </c>
      <c r="K23" s="128" t="s">
        <v>97</v>
      </c>
      <c r="L23" s="129"/>
      <c r="M23" s="128" t="s">
        <v>98</v>
      </c>
      <c r="N23" s="513"/>
      <c r="O23" s="530"/>
    </row>
    <row r="24" spans="2:19" ht="15.75" customHeight="1">
      <c r="B24" s="119"/>
      <c r="C24" s="98"/>
      <c r="D24" s="98"/>
      <c r="E24" s="694"/>
      <c r="F24" s="695"/>
      <c r="G24" s="695"/>
      <c r="H24" s="696"/>
      <c r="I24" s="130"/>
      <c r="J24" s="130"/>
      <c r="K24" s="130"/>
      <c r="L24" s="130"/>
      <c r="M24" s="98"/>
      <c r="N24" s="514" t="s">
        <v>99</v>
      </c>
      <c r="O24" s="520"/>
    </row>
    <row r="25" spans="2:19" ht="15.75" customHeight="1" thickBot="1">
      <c r="B25" s="119"/>
      <c r="C25" s="98"/>
      <c r="D25" s="98"/>
      <c r="E25" s="697"/>
      <c r="F25" s="698"/>
      <c r="G25" s="698"/>
      <c r="H25" s="699"/>
      <c r="I25" s="130"/>
      <c r="J25" s="130"/>
      <c r="K25" s="130"/>
      <c r="L25" s="130"/>
      <c r="M25" s="98"/>
      <c r="N25" s="514"/>
      <c r="O25" s="520"/>
    </row>
    <row r="26" spans="2:19" s="131" customFormat="1" ht="18.75">
      <c r="B26" s="132" t="s">
        <v>138</v>
      </c>
      <c r="C26" s="133"/>
      <c r="D26" s="133"/>
      <c r="E26" s="133"/>
      <c r="F26" s="133"/>
      <c r="G26" s="133"/>
      <c r="H26" s="683" t="s">
        <v>139</v>
      </c>
      <c r="I26" s="683"/>
      <c r="J26" s="683"/>
      <c r="K26" s="683"/>
      <c r="L26" s="683"/>
      <c r="M26" s="683"/>
      <c r="N26" s="683"/>
      <c r="O26" s="521"/>
      <c r="P26" s="112"/>
      <c r="Q26" s="112"/>
      <c r="R26" s="112"/>
      <c r="S26" s="112"/>
    </row>
    <row r="27" spans="2:19">
      <c r="B27" s="135"/>
      <c r="C27" s="98"/>
      <c r="D27" s="98"/>
      <c r="E27" s="98"/>
      <c r="F27" s="98"/>
      <c r="G27" s="98"/>
      <c r="H27" s="136"/>
      <c r="I27" s="136"/>
      <c r="J27" s="98"/>
      <c r="K27" s="98"/>
      <c r="L27" s="98"/>
      <c r="M27" s="98"/>
      <c r="N27" s="94"/>
      <c r="O27" s="520"/>
    </row>
    <row r="28" spans="2:19">
      <c r="B28" s="135" t="s">
        <v>100</v>
      </c>
      <c r="C28" s="98"/>
      <c r="D28" s="673"/>
      <c r="E28" s="674"/>
      <c r="F28" s="675"/>
      <c r="G28" s="98"/>
      <c r="H28" s="136" t="s">
        <v>100</v>
      </c>
      <c r="I28" s="136"/>
      <c r="J28" s="669"/>
      <c r="K28" s="664"/>
      <c r="L28" s="664"/>
      <c r="M28" s="664"/>
      <c r="N28" s="664"/>
      <c r="O28" s="530"/>
    </row>
    <row r="29" spans="2:19">
      <c r="B29" s="135"/>
      <c r="C29" s="98"/>
      <c r="D29" s="137"/>
      <c r="E29" s="137"/>
      <c r="F29" s="137"/>
      <c r="G29" s="98"/>
      <c r="H29" s="136"/>
      <c r="I29" s="136"/>
      <c r="J29" s="137"/>
      <c r="K29" s="137"/>
      <c r="L29" s="137"/>
      <c r="M29" s="137"/>
      <c r="N29" s="511"/>
      <c r="O29" s="520"/>
    </row>
    <row r="30" spans="2:19">
      <c r="B30" s="135" t="s">
        <v>101</v>
      </c>
      <c r="C30" s="98"/>
      <c r="D30" s="670"/>
      <c r="E30" s="664"/>
      <c r="F30" s="665"/>
      <c r="G30" s="98"/>
      <c r="H30" s="136" t="s">
        <v>101</v>
      </c>
      <c r="I30" s="136"/>
      <c r="J30" s="669"/>
      <c r="K30" s="664"/>
      <c r="L30" s="664"/>
      <c r="M30" s="664"/>
      <c r="N30" s="665"/>
      <c r="O30" s="520"/>
    </row>
    <row r="31" spans="2:19">
      <c r="B31" s="135"/>
      <c r="C31" s="98"/>
      <c r="D31" s="137"/>
      <c r="E31" s="137"/>
      <c r="F31" s="137"/>
      <c r="G31" s="98"/>
      <c r="H31" s="98"/>
      <c r="I31" s="98"/>
      <c r="J31" s="137"/>
      <c r="K31" s="137"/>
      <c r="L31" s="137"/>
      <c r="M31" s="137"/>
      <c r="N31" s="511"/>
      <c r="O31" s="520"/>
    </row>
    <row r="32" spans="2:19">
      <c r="B32" s="135" t="s">
        <v>137</v>
      </c>
      <c r="C32" s="98"/>
      <c r="D32" s="666"/>
      <c r="E32" s="667"/>
      <c r="F32" s="668"/>
      <c r="G32" s="98"/>
      <c r="H32" s="136" t="s">
        <v>137</v>
      </c>
      <c r="I32" s="136"/>
      <c r="J32" s="669"/>
      <c r="K32" s="664"/>
      <c r="L32" s="664"/>
      <c r="M32" s="664"/>
      <c r="N32" s="664"/>
      <c r="O32" s="530"/>
    </row>
    <row r="33" spans="2:18">
      <c r="B33" s="135"/>
      <c r="C33" s="98"/>
      <c r="D33" s="137"/>
      <c r="E33" s="137"/>
      <c r="F33" s="137"/>
      <c r="G33" s="98"/>
      <c r="H33" s="136"/>
      <c r="I33" s="136"/>
      <c r="J33" s="105"/>
      <c r="K33" s="105"/>
      <c r="L33" s="105"/>
      <c r="M33" s="105"/>
      <c r="N33" s="510"/>
      <c r="O33" s="520"/>
    </row>
    <row r="34" spans="2:18">
      <c r="B34" s="135" t="s">
        <v>180</v>
      </c>
      <c r="C34" s="98"/>
      <c r="D34" s="663" t="s">
        <v>107</v>
      </c>
      <c r="E34" s="664"/>
      <c r="F34" s="665"/>
      <c r="G34" s="98"/>
      <c r="H34" s="136" t="s">
        <v>386</v>
      </c>
      <c r="I34" s="98"/>
      <c r="J34" s="663" t="s">
        <v>107</v>
      </c>
      <c r="K34" s="664"/>
      <c r="L34" s="664"/>
      <c r="M34" s="671"/>
      <c r="N34" s="672"/>
      <c r="O34" s="520"/>
    </row>
    <row r="35" spans="2:18" ht="16.5" thickBot="1">
      <c r="B35" s="138"/>
      <c r="C35" s="139"/>
      <c r="D35" s="139"/>
      <c r="E35" s="139"/>
      <c r="F35" s="139"/>
      <c r="G35" s="139"/>
      <c r="H35" s="139"/>
      <c r="I35" s="139"/>
      <c r="J35" s="139"/>
      <c r="K35" s="139"/>
      <c r="L35" s="139"/>
      <c r="M35" s="139"/>
      <c r="N35" s="139"/>
      <c r="O35" s="525"/>
    </row>
    <row r="36" spans="2:18">
      <c r="B36" s="136"/>
      <c r="C36" s="98"/>
      <c r="D36" s="98"/>
      <c r="E36" s="98"/>
      <c r="F36" s="98"/>
      <c r="G36" s="98"/>
      <c r="H36" s="98"/>
      <c r="I36" s="98"/>
      <c r="J36" s="98"/>
      <c r="K36" s="98"/>
      <c r="L36" s="98"/>
      <c r="M36" s="98"/>
      <c r="N36" s="94"/>
      <c r="O36" s="96"/>
      <c r="P36" s="96"/>
    </row>
    <row r="37" spans="2:18" ht="16.5" thickBot="1">
      <c r="B37" s="136"/>
      <c r="C37" s="139"/>
      <c r="D37" s="139"/>
      <c r="E37" s="139"/>
      <c r="F37" s="139"/>
      <c r="G37" s="139"/>
      <c r="H37" s="139"/>
      <c r="I37" s="139"/>
      <c r="J37" s="139"/>
      <c r="K37" s="139"/>
      <c r="L37" s="139"/>
      <c r="M37" s="139"/>
      <c r="N37" s="139"/>
      <c r="O37" s="96"/>
    </row>
    <row r="38" spans="2:18" s="141" customFormat="1" ht="18.75" customHeight="1">
      <c r="B38" s="650" t="s">
        <v>169</v>
      </c>
      <c r="C38" s="651"/>
      <c r="D38" s="651"/>
      <c r="E38" s="651"/>
      <c r="F38" s="651"/>
      <c r="G38" s="528"/>
      <c r="H38" s="528"/>
      <c r="I38" s="529"/>
      <c r="J38" s="529"/>
      <c r="K38" s="529"/>
      <c r="L38" s="529"/>
      <c r="M38" s="529"/>
      <c r="N38" s="548"/>
      <c r="O38" s="549"/>
      <c r="P38" s="549"/>
    </row>
    <row r="39" spans="2:18" ht="10.5" customHeight="1">
      <c r="B39" s="145"/>
      <c r="C39" s="146"/>
      <c r="D39" s="146"/>
      <c r="E39" s="146"/>
      <c r="F39" s="146"/>
      <c r="G39" s="147"/>
      <c r="H39" s="147"/>
      <c r="I39" s="98"/>
      <c r="J39" s="98"/>
      <c r="K39" s="98"/>
      <c r="L39" s="98"/>
      <c r="M39" s="98"/>
      <c r="N39" s="111"/>
      <c r="O39" s="534"/>
    </row>
    <row r="40" spans="2:18">
      <c r="B40" s="148" t="s">
        <v>178</v>
      </c>
      <c r="C40" s="149"/>
      <c r="D40" s="149"/>
      <c r="E40" s="146" t="s">
        <v>179</v>
      </c>
      <c r="F40" s="150"/>
      <c r="G40" s="150"/>
      <c r="H40" s="147"/>
      <c r="I40" s="151" t="s">
        <v>177</v>
      </c>
      <c r="J40" s="98"/>
      <c r="K40" s="98"/>
      <c r="L40" s="98"/>
      <c r="M40" s="98"/>
      <c r="N40" s="111"/>
      <c r="O40" s="534"/>
      <c r="P40" s="96"/>
    </row>
    <row r="41" spans="2:18" ht="15" customHeight="1">
      <c r="B41" s="733" t="s">
        <v>144</v>
      </c>
      <c r="C41" s="734"/>
      <c r="D41" s="735"/>
      <c r="E41" s="661" t="str">
        <f>VLOOKUP($B$41,'Mutual aid grades definitions'!$A:$E,2,FALSE)</f>
        <v>PLANNED EVENT</v>
      </c>
      <c r="F41" s="662"/>
      <c r="G41" s="662"/>
      <c r="H41" s="152"/>
      <c r="I41" s="710" t="str">
        <f>VLOOKUP($B$41,'Mutual aid grades definitions'!$A:$E,3,FALSE)</f>
        <v>15 days and over Notice given</v>
      </c>
      <c r="J41" s="710"/>
      <c r="K41" s="710"/>
      <c r="L41" s="710"/>
      <c r="M41" s="710"/>
      <c r="N41" s="711"/>
      <c r="O41" s="550"/>
      <c r="P41" s="154"/>
      <c r="Q41" s="153"/>
      <c r="R41" s="153"/>
    </row>
    <row r="42" spans="2:18" ht="15" customHeight="1">
      <c r="B42" s="155"/>
      <c r="C42" s="156"/>
      <c r="D42" s="156"/>
      <c r="E42" s="156"/>
      <c r="F42" s="157"/>
      <c r="G42" s="157"/>
      <c r="H42" s="157"/>
      <c r="I42" s="158"/>
      <c r="J42" s="157"/>
      <c r="K42" s="157"/>
      <c r="L42" s="157"/>
      <c r="M42" s="157"/>
      <c r="N42" s="159"/>
      <c r="O42" s="534"/>
    </row>
    <row r="43" spans="2:18">
      <c r="B43" s="160" t="s">
        <v>172</v>
      </c>
      <c r="C43" s="161"/>
      <c r="D43" s="161"/>
      <c r="E43" s="161"/>
      <c r="F43" s="161"/>
      <c r="G43" s="161"/>
      <c r="H43" s="161"/>
      <c r="I43" s="151" t="s">
        <v>171</v>
      </c>
      <c r="J43" s="98"/>
      <c r="K43" s="98"/>
      <c r="L43" s="98"/>
      <c r="M43" s="98"/>
      <c r="N43" s="111"/>
      <c r="O43" s="534"/>
    </row>
    <row r="44" spans="2:18" ht="15" customHeight="1">
      <c r="B44" s="652" t="str">
        <f>VLOOKUP($B$41,'Mutual aid grades definitions'!$A:$E,4,FALSE)</f>
        <v>For example, the “V” festivals, COP26 and Commonwealth Games. Here the event has a capacity requirement beyond a single force or where a force cannot alone police the event and provide appropriate resilience in the rest of its force area;</v>
      </c>
      <c r="C44" s="653"/>
      <c r="D44" s="653"/>
      <c r="E44" s="653"/>
      <c r="F44" s="653"/>
      <c r="G44" s="654"/>
      <c r="H44" s="162"/>
      <c r="I44" s="712" t="str">
        <f>VLOOKUP($B$41,'Mutual aid grades definitions'!$A:$E,5,FALSE)</f>
        <v>Charge basic salary hours worked x 1.33 for PC &amp; Sgt, x 1.5 for Police Staff and x 1.25 for Insp and above</v>
      </c>
      <c r="J44" s="653"/>
      <c r="K44" s="653"/>
      <c r="L44" s="653"/>
      <c r="M44" s="653"/>
      <c r="N44" s="713"/>
      <c r="O44" s="534"/>
    </row>
    <row r="45" spans="2:18">
      <c r="B45" s="655"/>
      <c r="C45" s="656"/>
      <c r="D45" s="656"/>
      <c r="E45" s="656"/>
      <c r="F45" s="656"/>
      <c r="G45" s="657"/>
      <c r="H45" s="98"/>
      <c r="I45" s="714"/>
      <c r="J45" s="715"/>
      <c r="K45" s="715"/>
      <c r="L45" s="715"/>
      <c r="M45" s="715"/>
      <c r="N45" s="716"/>
      <c r="O45" s="534"/>
    </row>
    <row r="46" spans="2:18">
      <c r="B46" s="658"/>
      <c r="C46" s="659"/>
      <c r="D46" s="659"/>
      <c r="E46" s="659"/>
      <c r="F46" s="659"/>
      <c r="G46" s="660"/>
      <c r="H46" s="163"/>
      <c r="I46" s="717"/>
      <c r="J46" s="659"/>
      <c r="K46" s="659"/>
      <c r="L46" s="659"/>
      <c r="M46" s="659"/>
      <c r="N46" s="718"/>
      <c r="O46" s="534"/>
    </row>
    <row r="47" spans="2:18" ht="16.5" thickBot="1">
      <c r="B47" s="164"/>
      <c r="C47" s="165"/>
      <c r="D47" s="165"/>
      <c r="E47" s="165"/>
      <c r="F47" s="165"/>
      <c r="G47" s="165"/>
      <c r="H47" s="166"/>
      <c r="I47" s="165"/>
      <c r="J47" s="165"/>
      <c r="K47" s="165"/>
      <c r="L47" s="165"/>
      <c r="M47" s="165"/>
      <c r="N47" s="167"/>
      <c r="O47" s="534"/>
    </row>
    <row r="48" spans="2:18">
      <c r="B48" s="168"/>
      <c r="C48" s="150"/>
      <c r="D48" s="150"/>
      <c r="E48" s="150"/>
      <c r="F48" s="150"/>
      <c r="G48" s="150"/>
      <c r="H48" s="163"/>
      <c r="I48" s="150"/>
      <c r="J48" s="150"/>
      <c r="K48" s="150"/>
      <c r="L48" s="150"/>
      <c r="M48" s="150"/>
      <c r="N48" s="509"/>
      <c r="O48" s="96"/>
    </row>
    <row r="49" spans="2:19" ht="16.5" thickBot="1">
      <c r="B49" s="165"/>
      <c r="C49" s="150"/>
      <c r="D49" s="150"/>
      <c r="E49" s="150"/>
      <c r="F49" s="150"/>
      <c r="G49" s="150"/>
      <c r="H49" s="163"/>
      <c r="I49" s="150"/>
      <c r="J49" s="150"/>
      <c r="K49" s="150"/>
      <c r="L49" s="150"/>
      <c r="M49" s="150"/>
      <c r="N49" s="509"/>
      <c r="O49" s="96"/>
      <c r="P49" s="96"/>
    </row>
    <row r="50" spans="2:19" s="112" customFormat="1" ht="18.75">
      <c r="B50" s="650" t="s">
        <v>181</v>
      </c>
      <c r="C50" s="770"/>
      <c r="D50" s="770"/>
      <c r="E50" s="770"/>
      <c r="F50" s="770"/>
      <c r="G50" s="142"/>
      <c r="H50" s="142"/>
      <c r="I50" s="169"/>
      <c r="J50" s="169"/>
      <c r="K50" s="169"/>
      <c r="L50" s="169"/>
      <c r="M50" s="169"/>
      <c r="N50" s="170"/>
      <c r="O50" s="533"/>
    </row>
    <row r="51" spans="2:19" ht="15.75" customHeight="1">
      <c r="B51" s="736" t="s">
        <v>182</v>
      </c>
      <c r="C51" s="737"/>
      <c r="D51" s="737"/>
      <c r="E51" s="738"/>
      <c r="G51" s="98"/>
      <c r="H51" s="700" t="str">
        <f>VLOOKUP(B51,'Mutual aid grades definitions'!A15:B17,2,FALSE)</f>
        <v xml:space="preserve"> </v>
      </c>
      <c r="I51" s="701"/>
      <c r="J51" s="701"/>
      <c r="K51" s="701"/>
      <c r="L51" s="701"/>
      <c r="M51" s="701"/>
      <c r="N51" s="702"/>
      <c r="O51" s="534"/>
    </row>
    <row r="52" spans="2:19" ht="6.75" customHeight="1">
      <c r="B52" s="171"/>
      <c r="C52" s="172"/>
      <c r="D52" s="173"/>
      <c r="E52" s="173"/>
      <c r="F52" s="173"/>
      <c r="G52" s="147"/>
      <c r="H52" s="174"/>
      <c r="I52" s="175"/>
      <c r="J52" s="176"/>
      <c r="K52" s="177"/>
      <c r="L52" s="177"/>
      <c r="M52" s="177"/>
      <c r="N52" s="178"/>
      <c r="O52" s="534"/>
    </row>
    <row r="53" spans="2:19" ht="15.75" customHeight="1">
      <c r="B53" s="736" t="s">
        <v>136</v>
      </c>
      <c r="C53" s="737"/>
      <c r="D53" s="737"/>
      <c r="E53" s="738"/>
      <c r="G53" s="98"/>
      <c r="H53" s="700" t="str">
        <f>VLOOKUP(B$53,'Mutual aid grades definitions'!$A$15:$B$21,2,FALSE)</f>
        <v xml:space="preserve"> </v>
      </c>
      <c r="I53" s="701"/>
      <c r="J53" s="701"/>
      <c r="K53" s="701"/>
      <c r="L53" s="701"/>
      <c r="M53" s="701"/>
      <c r="N53" s="702"/>
      <c r="O53" s="534"/>
    </row>
    <row r="54" spans="2:19" ht="28.5" customHeight="1">
      <c r="B54" s="179"/>
      <c r="C54" s="180"/>
      <c r="D54" s="180"/>
      <c r="E54" s="180"/>
      <c r="F54" s="98"/>
      <c r="G54" s="98"/>
      <c r="H54" s="751" t="str">
        <f>VLOOKUP(B$53,'Mutual aid grades definitions'!$A$15:$C$21,3,FALSE)</f>
        <v xml:space="preserve"> </v>
      </c>
      <c r="I54" s="751"/>
      <c r="J54" s="751"/>
      <c r="K54" s="751"/>
      <c r="L54" s="751"/>
      <c r="M54" s="751"/>
      <c r="N54" s="752"/>
      <c r="O54" s="534"/>
    </row>
    <row r="55" spans="2:19" ht="6.75" customHeight="1" thickBot="1">
      <c r="B55" s="181"/>
      <c r="C55" s="139"/>
      <c r="D55" s="139"/>
      <c r="E55" s="139"/>
      <c r="F55" s="139"/>
      <c r="G55" s="139"/>
      <c r="H55" s="139"/>
      <c r="I55" s="139"/>
      <c r="J55" s="139"/>
      <c r="K55" s="139"/>
      <c r="L55" s="139"/>
      <c r="M55" s="139"/>
      <c r="N55" s="140"/>
      <c r="O55" s="534"/>
      <c r="P55" s="96"/>
    </row>
    <row r="56" spans="2:19">
      <c r="B56" s="147"/>
      <c r="C56" s="98"/>
      <c r="D56" s="98"/>
      <c r="E56" s="98"/>
      <c r="F56" s="98"/>
      <c r="G56" s="98"/>
      <c r="H56" s="98"/>
      <c r="I56" s="98"/>
      <c r="J56" s="98"/>
      <c r="K56" s="98"/>
      <c r="L56" s="98"/>
      <c r="M56" s="98"/>
      <c r="N56" s="94"/>
      <c r="O56" s="96"/>
    </row>
    <row r="57" spans="2:19" ht="16.5" thickBot="1">
      <c r="B57" s="147"/>
      <c r="C57" s="98"/>
      <c r="D57" s="98"/>
      <c r="E57" s="98"/>
      <c r="F57" s="98"/>
      <c r="G57" s="98"/>
      <c r="H57" s="98"/>
      <c r="I57" s="98"/>
      <c r="J57" s="98"/>
      <c r="K57" s="98"/>
      <c r="L57" s="98"/>
      <c r="M57" s="98"/>
      <c r="N57" s="94"/>
      <c r="O57" s="96"/>
    </row>
    <row r="58" spans="2:19" s="112" customFormat="1" ht="11.25" customHeight="1">
      <c r="B58" s="754" t="s">
        <v>263</v>
      </c>
      <c r="C58" s="761"/>
      <c r="D58" s="761"/>
      <c r="E58" s="764" t="s">
        <v>388</v>
      </c>
      <c r="F58" s="765"/>
      <c r="G58" s="765"/>
      <c r="H58" s="765"/>
      <c r="I58" s="766"/>
      <c r="K58" s="745" t="s">
        <v>264</v>
      </c>
      <c r="L58" s="746"/>
      <c r="M58" s="747"/>
      <c r="N58" s="747"/>
      <c r="O58" s="532"/>
    </row>
    <row r="59" spans="2:19" s="112" customFormat="1" ht="15.6" customHeight="1" thickBot="1">
      <c r="B59" s="762"/>
      <c r="C59" s="763"/>
      <c r="D59" s="763"/>
      <c r="E59" s="767"/>
      <c r="F59" s="767"/>
      <c r="G59" s="767"/>
      <c r="H59" s="767"/>
      <c r="I59" s="768"/>
      <c r="K59" s="748"/>
      <c r="L59" s="749"/>
      <c r="M59" s="750"/>
      <c r="N59" s="750"/>
      <c r="O59" s="533"/>
    </row>
    <row r="60" spans="2:19" s="182" customFormat="1" ht="44.25" customHeight="1" thickBot="1">
      <c r="B60" s="183" t="s">
        <v>0</v>
      </c>
      <c r="C60" s="183" t="s">
        <v>1</v>
      </c>
      <c r="D60" s="183" t="s">
        <v>190</v>
      </c>
      <c r="E60" s="184" t="s">
        <v>3</v>
      </c>
      <c r="F60" s="184" t="s">
        <v>378</v>
      </c>
      <c r="G60" s="183" t="s">
        <v>2</v>
      </c>
      <c r="H60" s="183" t="s">
        <v>317</v>
      </c>
      <c r="I60" s="184" t="s">
        <v>4</v>
      </c>
      <c r="J60" s="147"/>
      <c r="K60" s="183" t="s">
        <v>193</v>
      </c>
      <c r="L60" s="185" t="s">
        <v>537</v>
      </c>
      <c r="M60" s="185" t="s">
        <v>265</v>
      </c>
      <c r="N60" s="505" t="s">
        <v>194</v>
      </c>
      <c r="O60" s="534"/>
      <c r="P60" s="187"/>
      <c r="Q60" s="187"/>
      <c r="R60" s="187"/>
      <c r="S60" s="187"/>
    </row>
    <row r="61" spans="2:19">
      <c r="B61" s="188"/>
      <c r="C61" s="189"/>
      <c r="D61" s="190" t="s">
        <v>192</v>
      </c>
      <c r="E61" s="191"/>
      <c r="F61" s="192" t="s">
        <v>133</v>
      </c>
      <c r="G61" s="193"/>
      <c r="H61" s="194"/>
      <c r="I61" s="195"/>
      <c r="J61" s="196"/>
      <c r="K61" s="197" t="str">
        <f>IF(G61="","",VLOOKUP(P61,Rates!B:D,3,FALSE))</f>
        <v/>
      </c>
      <c r="L61" s="198" t="str">
        <f>K61</f>
        <v/>
      </c>
      <c r="M61" s="199">
        <f>G61*H61*I61</f>
        <v>0</v>
      </c>
      <c r="N61" s="506" t="str">
        <f>IF(G61="","",IF(L61=K61,(K61*M61),(L61*M61)))</f>
        <v/>
      </c>
      <c r="O61" s="534"/>
      <c r="P61" s="97" t="str">
        <f>CONCATENATE(F61&amp;D61)</f>
        <v>Choose Mutual Aid GradePlease Choose</v>
      </c>
    </row>
    <row r="62" spans="2:19">
      <c r="B62" s="188"/>
      <c r="C62" s="189"/>
      <c r="D62" s="190" t="s">
        <v>192</v>
      </c>
      <c r="E62" s="201"/>
      <c r="F62" s="192" t="s">
        <v>133</v>
      </c>
      <c r="G62" s="193"/>
      <c r="H62" s="194"/>
      <c r="I62" s="195"/>
      <c r="J62" s="203"/>
      <c r="K62" s="197" t="str">
        <f>IF(G62="","",VLOOKUP(P62,Rates!B:D,3,FALSE))</f>
        <v/>
      </c>
      <c r="L62" s="198" t="str">
        <f>K62</f>
        <v/>
      </c>
      <c r="M62" s="199">
        <f t="shared" ref="M62:M88" si="0">G62*H62*I62</f>
        <v>0</v>
      </c>
      <c r="N62" s="506" t="str">
        <f t="shared" ref="N62:N88" si="1">IF(G62="","",IF(L62=K62,(K62*M62),(L62*M62)))</f>
        <v/>
      </c>
      <c r="O62" s="534"/>
      <c r="P62" s="97" t="str">
        <f t="shared" ref="P62:P88" si="2">CONCATENATE(F62&amp;D62)</f>
        <v>Choose Mutual Aid GradePlease Choose</v>
      </c>
    </row>
    <row r="63" spans="2:19">
      <c r="B63" s="188"/>
      <c r="C63" s="189"/>
      <c r="D63" s="190" t="s">
        <v>192</v>
      </c>
      <c r="E63" s="204"/>
      <c r="F63" s="192" t="s">
        <v>133</v>
      </c>
      <c r="G63" s="193"/>
      <c r="H63" s="194"/>
      <c r="I63" s="195"/>
      <c r="J63" s="203"/>
      <c r="K63" s="197" t="str">
        <f>IF(G63="","",VLOOKUP(P63,Rates!B:D,3,FALSE))</f>
        <v/>
      </c>
      <c r="L63" s="198" t="str">
        <f t="shared" ref="L63:L88" si="3">K63</f>
        <v/>
      </c>
      <c r="M63" s="199">
        <f t="shared" si="0"/>
        <v>0</v>
      </c>
      <c r="N63" s="506" t="str">
        <f t="shared" si="1"/>
        <v/>
      </c>
      <c r="O63" s="534"/>
      <c r="P63" s="97" t="str">
        <f t="shared" si="2"/>
        <v>Choose Mutual Aid GradePlease Choose</v>
      </c>
    </row>
    <row r="64" spans="2:19">
      <c r="B64" s="188"/>
      <c r="C64" s="189"/>
      <c r="D64" s="190" t="s">
        <v>192</v>
      </c>
      <c r="E64" s="204"/>
      <c r="F64" s="192" t="s">
        <v>133</v>
      </c>
      <c r="G64" s="193"/>
      <c r="H64" s="194"/>
      <c r="I64" s="195"/>
      <c r="J64" s="203"/>
      <c r="K64" s="197" t="str">
        <f>IF(G64="","",VLOOKUP(P64,Rates!B:D,3,FALSE))</f>
        <v/>
      </c>
      <c r="L64" s="198" t="str">
        <f t="shared" si="3"/>
        <v/>
      </c>
      <c r="M64" s="199">
        <f t="shared" si="0"/>
        <v>0</v>
      </c>
      <c r="N64" s="506" t="str">
        <f t="shared" si="1"/>
        <v/>
      </c>
      <c r="O64" s="534"/>
      <c r="P64" s="97" t="str">
        <f t="shared" si="2"/>
        <v>Choose Mutual Aid GradePlease Choose</v>
      </c>
    </row>
    <row r="65" spans="2:16">
      <c r="B65" s="188"/>
      <c r="C65" s="189"/>
      <c r="D65" s="190" t="s">
        <v>192</v>
      </c>
      <c r="E65" s="204"/>
      <c r="F65" s="192" t="s">
        <v>133</v>
      </c>
      <c r="G65" s="193"/>
      <c r="H65" s="194"/>
      <c r="I65" s="195"/>
      <c r="J65" s="203"/>
      <c r="K65" s="197" t="str">
        <f>IF(G65="","",VLOOKUP(P65,Rates!B:D,3,FALSE))</f>
        <v/>
      </c>
      <c r="L65" s="198" t="str">
        <f t="shared" si="3"/>
        <v/>
      </c>
      <c r="M65" s="199">
        <f t="shared" si="0"/>
        <v>0</v>
      </c>
      <c r="N65" s="506" t="str">
        <f t="shared" si="1"/>
        <v/>
      </c>
      <c r="O65" s="534"/>
      <c r="P65" s="97" t="str">
        <f t="shared" si="2"/>
        <v>Choose Mutual Aid GradePlease Choose</v>
      </c>
    </row>
    <row r="66" spans="2:16">
      <c r="B66" s="188"/>
      <c r="C66" s="189"/>
      <c r="D66" s="190" t="s">
        <v>192</v>
      </c>
      <c r="E66" s="204"/>
      <c r="F66" s="192" t="s">
        <v>133</v>
      </c>
      <c r="G66" s="193"/>
      <c r="H66" s="194"/>
      <c r="I66" s="195"/>
      <c r="J66" s="203"/>
      <c r="K66" s="197" t="str">
        <f>IF(G66="","",VLOOKUP(P66,Rates!B:D,3,FALSE))</f>
        <v/>
      </c>
      <c r="L66" s="198" t="str">
        <f t="shared" si="3"/>
        <v/>
      </c>
      <c r="M66" s="199">
        <f t="shared" si="0"/>
        <v>0</v>
      </c>
      <c r="N66" s="506" t="str">
        <f t="shared" si="1"/>
        <v/>
      </c>
      <c r="O66" s="534"/>
      <c r="P66" s="97" t="str">
        <f t="shared" si="2"/>
        <v>Choose Mutual Aid GradePlease Choose</v>
      </c>
    </row>
    <row r="67" spans="2:16">
      <c r="B67" s="188"/>
      <c r="C67" s="189"/>
      <c r="D67" s="190" t="s">
        <v>192</v>
      </c>
      <c r="E67" s="204"/>
      <c r="F67" s="202" t="s">
        <v>133</v>
      </c>
      <c r="G67" s="193"/>
      <c r="H67" s="194"/>
      <c r="I67" s="195"/>
      <c r="J67" s="203"/>
      <c r="K67" s="197" t="str">
        <f>IF(G67="","",VLOOKUP(P67,Rates!B:D,3,FALSE))</f>
        <v/>
      </c>
      <c r="L67" s="198" t="str">
        <f t="shared" si="3"/>
        <v/>
      </c>
      <c r="M67" s="199">
        <f t="shared" si="0"/>
        <v>0</v>
      </c>
      <c r="N67" s="506" t="str">
        <f t="shared" si="1"/>
        <v/>
      </c>
      <c r="O67" s="534"/>
      <c r="P67" s="97" t="str">
        <f t="shared" si="2"/>
        <v>Choose Mutual Aid GradePlease Choose</v>
      </c>
    </row>
    <row r="68" spans="2:16">
      <c r="B68" s="188"/>
      <c r="C68" s="189"/>
      <c r="D68" s="190" t="s">
        <v>192</v>
      </c>
      <c r="E68" s="204"/>
      <c r="F68" s="202" t="s">
        <v>133</v>
      </c>
      <c r="G68" s="193"/>
      <c r="H68" s="194"/>
      <c r="I68" s="195"/>
      <c r="J68" s="203"/>
      <c r="K68" s="197" t="str">
        <f>IF(G68="","",VLOOKUP(P68,Rates!B:D,3,FALSE))</f>
        <v/>
      </c>
      <c r="L68" s="198" t="str">
        <f t="shared" si="3"/>
        <v/>
      </c>
      <c r="M68" s="199">
        <f t="shared" si="0"/>
        <v>0</v>
      </c>
      <c r="N68" s="506" t="str">
        <f t="shared" si="1"/>
        <v/>
      </c>
      <c r="O68" s="534"/>
      <c r="P68" s="97" t="str">
        <f t="shared" si="2"/>
        <v>Choose Mutual Aid GradePlease Choose</v>
      </c>
    </row>
    <row r="69" spans="2:16">
      <c r="B69" s="188"/>
      <c r="C69" s="189"/>
      <c r="D69" s="190" t="s">
        <v>192</v>
      </c>
      <c r="E69" s="204"/>
      <c r="F69" s="202" t="s">
        <v>133</v>
      </c>
      <c r="G69" s="193"/>
      <c r="H69" s="194"/>
      <c r="I69" s="195"/>
      <c r="J69" s="203"/>
      <c r="K69" s="197" t="str">
        <f>IF(G69="","",VLOOKUP(P69,Rates!B:D,3,FALSE))</f>
        <v/>
      </c>
      <c r="L69" s="198" t="str">
        <f t="shared" si="3"/>
        <v/>
      </c>
      <c r="M69" s="199">
        <f t="shared" si="0"/>
        <v>0</v>
      </c>
      <c r="N69" s="506" t="str">
        <f t="shared" si="1"/>
        <v/>
      </c>
      <c r="O69" s="534"/>
      <c r="P69" s="97" t="str">
        <f t="shared" si="2"/>
        <v>Choose Mutual Aid GradePlease Choose</v>
      </c>
    </row>
    <row r="70" spans="2:16">
      <c r="B70" s="188"/>
      <c r="C70" s="189"/>
      <c r="D70" s="190" t="s">
        <v>192</v>
      </c>
      <c r="E70" s="204"/>
      <c r="F70" s="202" t="s">
        <v>133</v>
      </c>
      <c r="G70" s="193"/>
      <c r="H70" s="194"/>
      <c r="I70" s="195"/>
      <c r="J70" s="203"/>
      <c r="K70" s="197" t="str">
        <f>IF(G70="","",VLOOKUP(P70,Rates!B:D,3,FALSE))</f>
        <v/>
      </c>
      <c r="L70" s="198" t="str">
        <f t="shared" si="3"/>
        <v/>
      </c>
      <c r="M70" s="199">
        <f t="shared" si="0"/>
        <v>0</v>
      </c>
      <c r="N70" s="506" t="str">
        <f t="shared" si="1"/>
        <v/>
      </c>
      <c r="O70" s="534"/>
      <c r="P70" s="97" t="str">
        <f t="shared" si="2"/>
        <v>Choose Mutual Aid GradePlease Choose</v>
      </c>
    </row>
    <row r="71" spans="2:16">
      <c r="B71" s="188"/>
      <c r="C71" s="189"/>
      <c r="D71" s="190" t="s">
        <v>192</v>
      </c>
      <c r="E71" s="204"/>
      <c r="F71" s="202" t="s">
        <v>133</v>
      </c>
      <c r="G71" s="193"/>
      <c r="H71" s="194"/>
      <c r="I71" s="195"/>
      <c r="J71" s="203"/>
      <c r="K71" s="197" t="str">
        <f>IF(G71="","",VLOOKUP(P71,Rates!B:D,3,FALSE))</f>
        <v/>
      </c>
      <c r="L71" s="198" t="str">
        <f t="shared" si="3"/>
        <v/>
      </c>
      <c r="M71" s="199">
        <f t="shared" si="0"/>
        <v>0</v>
      </c>
      <c r="N71" s="506" t="str">
        <f t="shared" si="1"/>
        <v/>
      </c>
      <c r="O71" s="534"/>
      <c r="P71" s="97" t="str">
        <f t="shared" si="2"/>
        <v>Choose Mutual Aid GradePlease Choose</v>
      </c>
    </row>
    <row r="72" spans="2:16">
      <c r="B72" s="188"/>
      <c r="C72" s="189"/>
      <c r="D72" s="190" t="s">
        <v>192</v>
      </c>
      <c r="E72" s="204"/>
      <c r="F72" s="202" t="s">
        <v>133</v>
      </c>
      <c r="G72" s="193"/>
      <c r="H72" s="194"/>
      <c r="I72" s="195"/>
      <c r="J72" s="203"/>
      <c r="K72" s="197" t="str">
        <f>IF(G72="","",VLOOKUP(P72,Rates!B:D,3,FALSE))</f>
        <v/>
      </c>
      <c r="L72" s="198" t="str">
        <f t="shared" si="3"/>
        <v/>
      </c>
      <c r="M72" s="199">
        <f t="shared" si="0"/>
        <v>0</v>
      </c>
      <c r="N72" s="506" t="str">
        <f t="shared" si="1"/>
        <v/>
      </c>
      <c r="O72" s="534"/>
      <c r="P72" s="97" t="str">
        <f t="shared" si="2"/>
        <v>Choose Mutual Aid GradePlease Choose</v>
      </c>
    </row>
    <row r="73" spans="2:16">
      <c r="B73" s="188"/>
      <c r="C73" s="189"/>
      <c r="D73" s="190" t="s">
        <v>192</v>
      </c>
      <c r="E73" s="204"/>
      <c r="F73" s="202" t="s">
        <v>133</v>
      </c>
      <c r="G73" s="193"/>
      <c r="H73" s="194"/>
      <c r="I73" s="195"/>
      <c r="J73" s="203"/>
      <c r="K73" s="197" t="str">
        <f>IF(G73="","",VLOOKUP(P73,Rates!B:D,3,FALSE))</f>
        <v/>
      </c>
      <c r="L73" s="198" t="str">
        <f t="shared" si="3"/>
        <v/>
      </c>
      <c r="M73" s="199">
        <f t="shared" si="0"/>
        <v>0</v>
      </c>
      <c r="N73" s="506" t="str">
        <f t="shared" si="1"/>
        <v/>
      </c>
      <c r="O73" s="534"/>
      <c r="P73" s="97" t="str">
        <f t="shared" si="2"/>
        <v>Choose Mutual Aid GradePlease Choose</v>
      </c>
    </row>
    <row r="74" spans="2:16">
      <c r="B74" s="188"/>
      <c r="C74" s="189"/>
      <c r="D74" s="190" t="s">
        <v>192</v>
      </c>
      <c r="E74" s="204"/>
      <c r="F74" s="202" t="s">
        <v>133</v>
      </c>
      <c r="G74" s="193"/>
      <c r="H74" s="194"/>
      <c r="I74" s="195"/>
      <c r="J74" s="203"/>
      <c r="K74" s="197" t="str">
        <f>IF(G74="","",VLOOKUP(P74,Rates!B:D,3,FALSE))</f>
        <v/>
      </c>
      <c r="L74" s="198"/>
      <c r="M74" s="199">
        <f t="shared" si="0"/>
        <v>0</v>
      </c>
      <c r="N74" s="506" t="str">
        <f t="shared" si="1"/>
        <v/>
      </c>
      <c r="O74" s="534"/>
      <c r="P74" s="97" t="str">
        <f t="shared" si="2"/>
        <v>Choose Mutual Aid GradePlease Choose</v>
      </c>
    </row>
    <row r="75" spans="2:16">
      <c r="B75" s="188"/>
      <c r="C75" s="189"/>
      <c r="D75" s="190" t="s">
        <v>192</v>
      </c>
      <c r="E75" s="204"/>
      <c r="F75" s="202" t="s">
        <v>133</v>
      </c>
      <c r="G75" s="193"/>
      <c r="H75" s="194"/>
      <c r="I75" s="195"/>
      <c r="J75" s="203"/>
      <c r="K75" s="197" t="str">
        <f>IF(G75="","",VLOOKUP(P75,Rates!B:D,3,FALSE))</f>
        <v/>
      </c>
      <c r="L75" s="198" t="str">
        <f t="shared" si="3"/>
        <v/>
      </c>
      <c r="M75" s="199">
        <f t="shared" si="0"/>
        <v>0</v>
      </c>
      <c r="N75" s="506" t="str">
        <f t="shared" si="1"/>
        <v/>
      </c>
      <c r="O75" s="534"/>
      <c r="P75" s="97" t="str">
        <f t="shared" si="2"/>
        <v>Choose Mutual Aid GradePlease Choose</v>
      </c>
    </row>
    <row r="76" spans="2:16">
      <c r="B76" s="188"/>
      <c r="C76" s="189"/>
      <c r="D76" s="190" t="s">
        <v>192</v>
      </c>
      <c r="E76" s="204"/>
      <c r="F76" s="202" t="s">
        <v>133</v>
      </c>
      <c r="G76" s="193"/>
      <c r="H76" s="194"/>
      <c r="I76" s="195"/>
      <c r="J76" s="203"/>
      <c r="K76" s="197" t="str">
        <f>IF(G76="","",VLOOKUP(P76,Rates!B:D,3,FALSE))</f>
        <v/>
      </c>
      <c r="L76" s="198" t="str">
        <f t="shared" si="3"/>
        <v/>
      </c>
      <c r="M76" s="199">
        <f t="shared" si="0"/>
        <v>0</v>
      </c>
      <c r="N76" s="506" t="str">
        <f t="shared" si="1"/>
        <v/>
      </c>
      <c r="O76" s="534"/>
      <c r="P76" s="97" t="str">
        <f t="shared" si="2"/>
        <v>Choose Mutual Aid GradePlease Choose</v>
      </c>
    </row>
    <row r="77" spans="2:16">
      <c r="B77" s="188"/>
      <c r="C77" s="189"/>
      <c r="D77" s="190" t="s">
        <v>192</v>
      </c>
      <c r="E77" s="204"/>
      <c r="F77" s="202" t="s">
        <v>133</v>
      </c>
      <c r="G77" s="193"/>
      <c r="H77" s="194"/>
      <c r="I77" s="195"/>
      <c r="J77" s="203"/>
      <c r="K77" s="197" t="str">
        <f>IF(G77="","",VLOOKUP(P77,Rates!B:D,3,FALSE))</f>
        <v/>
      </c>
      <c r="L77" s="198" t="str">
        <f t="shared" si="3"/>
        <v/>
      </c>
      <c r="M77" s="199">
        <f t="shared" si="0"/>
        <v>0</v>
      </c>
      <c r="N77" s="506" t="str">
        <f t="shared" si="1"/>
        <v/>
      </c>
      <c r="O77" s="534"/>
      <c r="P77" s="97" t="str">
        <f t="shared" si="2"/>
        <v>Choose Mutual Aid GradePlease Choose</v>
      </c>
    </row>
    <row r="78" spans="2:16">
      <c r="B78" s="188"/>
      <c r="C78" s="189"/>
      <c r="D78" s="190" t="s">
        <v>192</v>
      </c>
      <c r="E78" s="204"/>
      <c r="F78" s="202" t="s">
        <v>133</v>
      </c>
      <c r="G78" s="193"/>
      <c r="H78" s="194"/>
      <c r="I78" s="195"/>
      <c r="J78" s="203"/>
      <c r="K78" s="197" t="str">
        <f>IF(G78="","",VLOOKUP(P78,Rates!B:D,3,FALSE))</f>
        <v/>
      </c>
      <c r="L78" s="198" t="str">
        <f t="shared" si="3"/>
        <v/>
      </c>
      <c r="M78" s="199">
        <f t="shared" si="0"/>
        <v>0</v>
      </c>
      <c r="N78" s="506" t="str">
        <f t="shared" si="1"/>
        <v/>
      </c>
      <c r="O78" s="534"/>
      <c r="P78" s="97" t="str">
        <f t="shared" si="2"/>
        <v>Choose Mutual Aid GradePlease Choose</v>
      </c>
    </row>
    <row r="79" spans="2:16">
      <c r="B79" s="188"/>
      <c r="C79" s="189"/>
      <c r="D79" s="190" t="s">
        <v>192</v>
      </c>
      <c r="E79" s="204"/>
      <c r="F79" s="202" t="s">
        <v>133</v>
      </c>
      <c r="G79" s="193"/>
      <c r="H79" s="194"/>
      <c r="I79" s="195"/>
      <c r="J79" s="203"/>
      <c r="K79" s="197" t="str">
        <f>IF(G79="","",VLOOKUP(P79,Rates!B:D,3,FALSE))</f>
        <v/>
      </c>
      <c r="L79" s="198" t="str">
        <f t="shared" si="3"/>
        <v/>
      </c>
      <c r="M79" s="199">
        <f t="shared" si="0"/>
        <v>0</v>
      </c>
      <c r="N79" s="506" t="str">
        <f t="shared" si="1"/>
        <v/>
      </c>
      <c r="O79" s="534"/>
      <c r="P79" s="97" t="str">
        <f t="shared" si="2"/>
        <v>Choose Mutual Aid GradePlease Choose</v>
      </c>
    </row>
    <row r="80" spans="2:16">
      <c r="B80" s="188"/>
      <c r="C80" s="189"/>
      <c r="D80" s="190" t="s">
        <v>192</v>
      </c>
      <c r="E80" s="204"/>
      <c r="F80" s="202" t="s">
        <v>133</v>
      </c>
      <c r="G80" s="193"/>
      <c r="H80" s="194"/>
      <c r="I80" s="195"/>
      <c r="J80" s="203"/>
      <c r="K80" s="197" t="str">
        <f>IF(G80="","",VLOOKUP(P80,Rates!B:D,3,FALSE))</f>
        <v/>
      </c>
      <c r="L80" s="198" t="str">
        <f t="shared" si="3"/>
        <v/>
      </c>
      <c r="M80" s="199">
        <f t="shared" si="0"/>
        <v>0</v>
      </c>
      <c r="N80" s="506" t="str">
        <f t="shared" si="1"/>
        <v/>
      </c>
      <c r="O80" s="534"/>
      <c r="P80" s="97" t="str">
        <f t="shared" si="2"/>
        <v>Choose Mutual Aid GradePlease Choose</v>
      </c>
    </row>
    <row r="81" spans="2:20">
      <c r="B81" s="188"/>
      <c r="C81" s="189"/>
      <c r="D81" s="190" t="s">
        <v>192</v>
      </c>
      <c r="E81" s="204"/>
      <c r="F81" s="202" t="s">
        <v>133</v>
      </c>
      <c r="G81" s="193"/>
      <c r="H81" s="194"/>
      <c r="I81" s="195"/>
      <c r="J81" s="203"/>
      <c r="K81" s="197" t="str">
        <f>IF(G81="","",VLOOKUP(P81,Rates!B:D,3,FALSE))</f>
        <v/>
      </c>
      <c r="L81" s="198" t="str">
        <f t="shared" si="3"/>
        <v/>
      </c>
      <c r="M81" s="199">
        <f t="shared" si="0"/>
        <v>0</v>
      </c>
      <c r="N81" s="506" t="str">
        <f t="shared" si="1"/>
        <v/>
      </c>
      <c r="O81" s="534"/>
      <c r="P81" s="97" t="str">
        <f t="shared" si="2"/>
        <v>Choose Mutual Aid GradePlease Choose</v>
      </c>
    </row>
    <row r="82" spans="2:20">
      <c r="B82" s="188"/>
      <c r="C82" s="189"/>
      <c r="D82" s="190" t="s">
        <v>192</v>
      </c>
      <c r="E82" s="204"/>
      <c r="F82" s="202" t="s">
        <v>133</v>
      </c>
      <c r="G82" s="193"/>
      <c r="H82" s="194"/>
      <c r="I82" s="195"/>
      <c r="J82" s="203"/>
      <c r="K82" s="197" t="str">
        <f>IF(G82="","",VLOOKUP(P82,Rates!B:D,3,FALSE))</f>
        <v/>
      </c>
      <c r="L82" s="198" t="str">
        <f t="shared" si="3"/>
        <v/>
      </c>
      <c r="M82" s="199">
        <f t="shared" si="0"/>
        <v>0</v>
      </c>
      <c r="N82" s="506" t="str">
        <f t="shared" si="1"/>
        <v/>
      </c>
      <c r="O82" s="534"/>
      <c r="P82" s="97" t="str">
        <f t="shared" si="2"/>
        <v>Choose Mutual Aid GradePlease Choose</v>
      </c>
    </row>
    <row r="83" spans="2:20">
      <c r="B83" s="188"/>
      <c r="C83" s="189"/>
      <c r="D83" s="190" t="s">
        <v>192</v>
      </c>
      <c r="E83" s="204"/>
      <c r="F83" s="202" t="s">
        <v>133</v>
      </c>
      <c r="G83" s="193"/>
      <c r="H83" s="194"/>
      <c r="I83" s="195"/>
      <c r="J83" s="203"/>
      <c r="K83" s="197" t="str">
        <f>IF(G83="","",VLOOKUP(P83,Rates!B:D,3,FALSE))</f>
        <v/>
      </c>
      <c r="L83" s="198" t="str">
        <f t="shared" si="3"/>
        <v/>
      </c>
      <c r="M83" s="199">
        <f t="shared" si="0"/>
        <v>0</v>
      </c>
      <c r="N83" s="506" t="str">
        <f t="shared" si="1"/>
        <v/>
      </c>
      <c r="O83" s="534"/>
      <c r="P83" s="97" t="str">
        <f t="shared" si="2"/>
        <v>Choose Mutual Aid GradePlease Choose</v>
      </c>
    </row>
    <row r="84" spans="2:20">
      <c r="B84" s="188"/>
      <c r="C84" s="189"/>
      <c r="D84" s="190" t="s">
        <v>192</v>
      </c>
      <c r="E84" s="204"/>
      <c r="F84" s="202" t="s">
        <v>133</v>
      </c>
      <c r="G84" s="193"/>
      <c r="H84" s="194"/>
      <c r="I84" s="195"/>
      <c r="J84" s="203"/>
      <c r="K84" s="197" t="str">
        <f>IF(G84="","",VLOOKUP(P84,Rates!B:D,3,FALSE))</f>
        <v/>
      </c>
      <c r="L84" s="198" t="str">
        <f t="shared" si="3"/>
        <v/>
      </c>
      <c r="M84" s="199">
        <f t="shared" si="0"/>
        <v>0</v>
      </c>
      <c r="N84" s="506" t="str">
        <f t="shared" si="1"/>
        <v/>
      </c>
      <c r="O84" s="534"/>
      <c r="P84" s="97" t="str">
        <f t="shared" si="2"/>
        <v>Choose Mutual Aid GradePlease Choose</v>
      </c>
    </row>
    <row r="85" spans="2:20">
      <c r="B85" s="188"/>
      <c r="C85" s="189"/>
      <c r="D85" s="190" t="s">
        <v>192</v>
      </c>
      <c r="E85" s="204"/>
      <c r="F85" s="202" t="s">
        <v>133</v>
      </c>
      <c r="G85" s="193"/>
      <c r="H85" s="194"/>
      <c r="I85" s="195"/>
      <c r="J85" s="203"/>
      <c r="K85" s="197" t="str">
        <f>IF(G85="","",VLOOKUP(P85,Rates!B:D,3,FALSE))</f>
        <v/>
      </c>
      <c r="L85" s="198" t="str">
        <f t="shared" si="3"/>
        <v/>
      </c>
      <c r="M85" s="199">
        <f t="shared" si="0"/>
        <v>0</v>
      </c>
      <c r="N85" s="506" t="str">
        <f t="shared" si="1"/>
        <v/>
      </c>
      <c r="O85" s="534"/>
      <c r="P85" s="97" t="str">
        <f t="shared" si="2"/>
        <v>Choose Mutual Aid GradePlease Choose</v>
      </c>
    </row>
    <row r="86" spans="2:20">
      <c r="B86" s="188"/>
      <c r="C86" s="189"/>
      <c r="D86" s="190" t="s">
        <v>192</v>
      </c>
      <c r="E86" s="204"/>
      <c r="F86" s="202" t="s">
        <v>133</v>
      </c>
      <c r="G86" s="193"/>
      <c r="H86" s="194"/>
      <c r="I86" s="195"/>
      <c r="J86" s="203"/>
      <c r="K86" s="197" t="str">
        <f>IF(G86="","",VLOOKUP(P86,Rates!B:D,3,FALSE))</f>
        <v/>
      </c>
      <c r="L86" s="198" t="str">
        <f t="shared" si="3"/>
        <v/>
      </c>
      <c r="M86" s="199">
        <f t="shared" si="0"/>
        <v>0</v>
      </c>
      <c r="N86" s="506" t="str">
        <f t="shared" si="1"/>
        <v/>
      </c>
      <c r="O86" s="534"/>
      <c r="P86" s="97" t="str">
        <f t="shared" si="2"/>
        <v>Choose Mutual Aid GradePlease Choose</v>
      </c>
    </row>
    <row r="87" spans="2:20">
      <c r="B87" s="188"/>
      <c r="C87" s="189"/>
      <c r="D87" s="190" t="s">
        <v>192</v>
      </c>
      <c r="E87" s="204"/>
      <c r="F87" s="202" t="s">
        <v>133</v>
      </c>
      <c r="G87" s="193"/>
      <c r="H87" s="194"/>
      <c r="I87" s="195"/>
      <c r="J87" s="203"/>
      <c r="K87" s="197" t="str">
        <f>IF(G87="","",VLOOKUP(P87,Rates!B:D,3,FALSE))</f>
        <v/>
      </c>
      <c r="L87" s="198" t="str">
        <f t="shared" si="3"/>
        <v/>
      </c>
      <c r="M87" s="199">
        <f t="shared" si="0"/>
        <v>0</v>
      </c>
      <c r="N87" s="506" t="str">
        <f t="shared" si="1"/>
        <v/>
      </c>
      <c r="O87" s="534"/>
      <c r="P87" s="97" t="str">
        <f t="shared" si="2"/>
        <v>Choose Mutual Aid GradePlease Choose</v>
      </c>
    </row>
    <row r="88" spans="2:20" ht="16.5" thickBot="1">
      <c r="B88" s="205"/>
      <c r="C88" s="206"/>
      <c r="D88" s="207" t="s">
        <v>192</v>
      </c>
      <c r="E88" s="208"/>
      <c r="F88" s="209" t="s">
        <v>133</v>
      </c>
      <c r="G88" s="210"/>
      <c r="H88" s="211"/>
      <c r="I88" s="212"/>
      <c r="J88" s="213"/>
      <c r="K88" s="214" t="str">
        <f>IF(G88="","",VLOOKUP(P88,Rates!B:D,3,FALSE))</f>
        <v/>
      </c>
      <c r="L88" s="198" t="str">
        <f t="shared" si="3"/>
        <v/>
      </c>
      <c r="M88" s="199">
        <f t="shared" si="0"/>
        <v>0</v>
      </c>
      <c r="N88" s="507" t="str">
        <f t="shared" si="1"/>
        <v/>
      </c>
      <c r="O88" s="534"/>
      <c r="P88" s="97" t="str">
        <f t="shared" si="2"/>
        <v>Choose Mutual Aid GradePlease Choose</v>
      </c>
    </row>
    <row r="89" spans="2:20" ht="15.75" customHeight="1" thickBot="1">
      <c r="B89" s="203"/>
      <c r="C89" s="203"/>
      <c r="D89" s="203"/>
      <c r="E89" s="203"/>
      <c r="F89" s="203"/>
      <c r="G89" s="203"/>
      <c r="H89" s="203"/>
      <c r="I89" s="203"/>
      <c r="J89" s="213"/>
      <c r="K89" s="216"/>
      <c r="L89" s="729" t="s">
        <v>269</v>
      </c>
      <c r="M89" s="730"/>
      <c r="N89" s="508">
        <f>SUM(N61:N88)</f>
        <v>0</v>
      </c>
      <c r="O89" s="534"/>
    </row>
    <row r="90" spans="2:20" ht="16.5" thickBot="1">
      <c r="B90" s="218"/>
      <c r="C90" s="218"/>
      <c r="D90" s="218"/>
      <c r="E90" s="218"/>
      <c r="F90" s="218"/>
      <c r="G90" s="218"/>
      <c r="H90" s="218"/>
      <c r="I90" s="219"/>
      <c r="J90" s="213"/>
      <c r="K90" s="220"/>
      <c r="L90" s="221"/>
      <c r="M90" s="222"/>
      <c r="N90" s="223"/>
      <c r="O90" s="531"/>
    </row>
    <row r="91" spans="2:20" s="112" customFormat="1" ht="15" customHeight="1">
      <c r="B91" s="779" t="s">
        <v>365</v>
      </c>
      <c r="C91" s="780"/>
      <c r="D91" s="780"/>
      <c r="E91" s="780"/>
      <c r="F91" s="780"/>
      <c r="G91" s="780"/>
      <c r="H91" s="780"/>
      <c r="I91" s="781"/>
      <c r="J91" s="224"/>
      <c r="K91" s="723" t="s">
        <v>366</v>
      </c>
      <c r="L91" s="724"/>
      <c r="M91" s="724"/>
      <c r="N91" s="724"/>
      <c r="O91" s="725"/>
    </row>
    <row r="92" spans="2:20" s="112" customFormat="1" ht="15.75" customHeight="1" thickBot="1">
      <c r="B92" s="782"/>
      <c r="C92" s="783"/>
      <c r="D92" s="783"/>
      <c r="E92" s="783"/>
      <c r="F92" s="783"/>
      <c r="G92" s="783"/>
      <c r="H92" s="783"/>
      <c r="I92" s="784"/>
      <c r="J92" s="224"/>
      <c r="K92" s="726"/>
      <c r="L92" s="727"/>
      <c r="M92" s="727"/>
      <c r="N92" s="727"/>
      <c r="O92" s="728"/>
    </row>
    <row r="93" spans="2:20" s="225" customFormat="1" ht="54.6" customHeight="1" thickBot="1">
      <c r="B93" s="226" t="s">
        <v>0</v>
      </c>
      <c r="C93" s="226" t="s">
        <v>1</v>
      </c>
      <c r="D93" s="227" t="s">
        <v>232</v>
      </c>
      <c r="E93" s="227" t="s">
        <v>223</v>
      </c>
      <c r="F93" s="227" t="s">
        <v>204</v>
      </c>
      <c r="G93" s="227" t="s">
        <v>416</v>
      </c>
      <c r="H93" s="227" t="s">
        <v>227</v>
      </c>
      <c r="I93" s="227" t="s">
        <v>311</v>
      </c>
      <c r="J93" s="228"/>
      <c r="K93" s="229" t="s">
        <v>540</v>
      </c>
      <c r="L93" s="229" t="s">
        <v>539</v>
      </c>
      <c r="M93" s="229" t="s">
        <v>541</v>
      </c>
      <c r="N93" s="230" t="s">
        <v>230</v>
      </c>
      <c r="O93" s="231" t="s">
        <v>318</v>
      </c>
      <c r="P93" s="232"/>
      <c r="Q93" s="233"/>
      <c r="R93" s="232"/>
      <c r="S93" s="232"/>
      <c r="T93" s="232"/>
    </row>
    <row r="94" spans="2:20" ht="15" customHeight="1">
      <c r="B94" s="188"/>
      <c r="C94" s="189"/>
      <c r="D94" s="234" t="s">
        <v>192</v>
      </c>
      <c r="E94" s="235"/>
      <c r="F94" s="236"/>
      <c r="G94" s="236"/>
      <c r="H94" s="237" t="str">
        <f>IF(ISNA(VLOOKUP(D94,Equipment!B43:C47,2,FALSE))," ",VLOOKUP(D94,Equipment!B43:C47,2,FALSE))</f>
        <v xml:space="preserve"> </v>
      </c>
      <c r="I94" s="238"/>
      <c r="J94" s="213"/>
      <c r="K94" s="239" t="str">
        <f>IF($D94="Basic Overnight",(F94*G94*H94),IF($D94="Enhanced Overnight/Hardship",(F94*G94*VLOOKUP("Basic Overnight",Equipment!$B$43:$C$49,2,FALSE)),""))</f>
        <v/>
      </c>
      <c r="L94" s="240" t="str">
        <f>IFERROR(VLOOKUP(D94,Equipment!$B$46:$C$47,2,FALSE)*F94*G94," ")</f>
        <v xml:space="preserve"> </v>
      </c>
      <c r="M94" s="241" t="str">
        <f>IF($D94="Hardship Only",(F94*G94*H94),IF($D94="Enhanced Overnight/Hardship",(F94*G94*VLOOKUP("Hardship Only",Equipment!$B$43:$C$49,2,FALSE)),""))</f>
        <v/>
      </c>
      <c r="N94" s="242" t="str">
        <f t="shared" ref="N94:N102" si="4">IF($I94="","",(F94*I94*G94))</f>
        <v/>
      </c>
      <c r="O94" s="243" t="str">
        <f>IF(G94="","",(SUM(K94:N94)*1.15))</f>
        <v/>
      </c>
      <c r="Q94" s="244"/>
      <c r="T94" s="97"/>
    </row>
    <row r="95" spans="2:20" ht="15.6" customHeight="1">
      <c r="B95" s="188"/>
      <c r="C95" s="189"/>
      <c r="D95" s="234" t="s">
        <v>192</v>
      </c>
      <c r="E95" s="189"/>
      <c r="F95" s="245"/>
      <c r="G95" s="245"/>
      <c r="H95" s="237" t="str">
        <f>IF(D95="please Choose"," ",VLOOKUP(D95,Equipment!$B$42:$C$48,2,FALSE))</f>
        <v xml:space="preserve"> </v>
      </c>
      <c r="I95" s="238"/>
      <c r="J95" s="213"/>
      <c r="K95" s="197" t="str">
        <f>IF($D95="Basic Overnight",(F95*G95*H95),IF($D95="Enhanced Overnight/Hardship",(F95*G95*VLOOKUP("Basic Overnight",Equipment!$B$43:$C$49,2,FALSE)),""))</f>
        <v/>
      </c>
      <c r="L95" s="240" t="str">
        <f>IFERROR(VLOOKUP(D95,Equipment!$B$46:$C$47,2,FALSE)*F95*G95," ")</f>
        <v xml:space="preserve"> </v>
      </c>
      <c r="M95" s="240" t="str">
        <f>IF($D95="Hardship Only",(F95*G95*H95),IF($D95="Enhanced Overnight/Hardship",(F95*G95*VLOOKUP("Hardship Only",Equipment!$B$43:$C$49,2,FALSE)),""))</f>
        <v/>
      </c>
      <c r="N95" s="246" t="str">
        <f t="shared" si="4"/>
        <v/>
      </c>
      <c r="O95" s="247" t="str">
        <f t="shared" ref="O95:O102" si="5">IF(G95="","",(SUM(K95:N95)*1.15))</f>
        <v/>
      </c>
      <c r="Q95" s="244"/>
      <c r="T95" s="97"/>
    </row>
    <row r="96" spans="2:20">
      <c r="B96" s="188"/>
      <c r="C96" s="189"/>
      <c r="D96" s="234" t="s">
        <v>192</v>
      </c>
      <c r="E96" s="189"/>
      <c r="F96" s="245"/>
      <c r="G96" s="245"/>
      <c r="H96" s="237" t="str">
        <f>IF(D96="please Choose"," ",VLOOKUP(D96,Equipment!$B$42:$C$48,2,FALSE))</f>
        <v xml:space="preserve"> </v>
      </c>
      <c r="I96" s="238"/>
      <c r="J96" s="213"/>
      <c r="K96" s="197" t="str">
        <f>IF($D96="Basic Overnight",(F96*G96*H96),IF($D96="Enhanced Overnight/Hardship",(F96*G96*VLOOKUP("Basic Overnight",Equipment!$B$43:$C$49,2,FALSE)),""))</f>
        <v/>
      </c>
      <c r="L96" s="240" t="str">
        <f>IFERROR(VLOOKUP(D96,Equipment!$B$46:$C$47,2,FALSE)*F96*G96," ")</f>
        <v xml:space="preserve"> </v>
      </c>
      <c r="M96" s="240" t="str">
        <f>IF($D96="Hardship Only",(F96*G96*H96),IF($D96="Enhanced Overnight/Hardship",(F96*G96*VLOOKUP("Hardship Only",Equipment!$B$43:$C$49,2,FALSE)),""))</f>
        <v/>
      </c>
      <c r="N96" s="246" t="str">
        <f t="shared" si="4"/>
        <v/>
      </c>
      <c r="O96" s="247" t="str">
        <f t="shared" si="5"/>
        <v/>
      </c>
      <c r="Q96" s="244"/>
      <c r="T96" s="97"/>
    </row>
    <row r="97" spans="2:20">
      <c r="B97" s="188"/>
      <c r="C97" s="189"/>
      <c r="D97" s="234" t="s">
        <v>192</v>
      </c>
      <c r="E97" s="189"/>
      <c r="F97" s="245"/>
      <c r="G97" s="245"/>
      <c r="H97" s="237" t="str">
        <f>IF(D97="please Choose"," ",VLOOKUP(D97,Equipment!$B$42:$C$48,2,FALSE))</f>
        <v xml:space="preserve"> </v>
      </c>
      <c r="I97" s="238"/>
      <c r="J97" s="213"/>
      <c r="K97" s="197" t="str">
        <f>IF($D97="Basic Overnight",(F97*G97*H97),IF($D97="Enhanced Overnight/Hardship",(F97*G97*VLOOKUP("Basic Overnight",Equipment!$B$43:$C$49,2,FALSE)),""))</f>
        <v/>
      </c>
      <c r="L97" s="240" t="str">
        <f>IFERROR(VLOOKUP(D97,Equipment!$B$46:$C$47,2,FALSE)*F97*G97," ")</f>
        <v xml:space="preserve"> </v>
      </c>
      <c r="M97" s="240" t="str">
        <f>IF($D97="Hardship Only",(F97*G97*H97),IF($D97="Enhanced Overnight/Hardship",(F97*G97*VLOOKUP("Hardship Only",Equipment!$B$43:$C$49,2,FALSE)),""))</f>
        <v/>
      </c>
      <c r="N97" s="246" t="str">
        <f t="shared" si="4"/>
        <v/>
      </c>
      <c r="O97" s="247" t="str">
        <f t="shared" si="5"/>
        <v/>
      </c>
      <c r="Q97" s="244"/>
      <c r="T97" s="97"/>
    </row>
    <row r="98" spans="2:20">
      <c r="B98" s="188"/>
      <c r="C98" s="189"/>
      <c r="D98" s="234" t="s">
        <v>192</v>
      </c>
      <c r="E98" s="189"/>
      <c r="F98" s="245"/>
      <c r="G98" s="245"/>
      <c r="H98" s="237" t="str">
        <f>IF(D98="please Choose"," ",VLOOKUP(D98,Equipment!$B$42:$C$48,2,FALSE))</f>
        <v xml:space="preserve"> </v>
      </c>
      <c r="I98" s="238"/>
      <c r="J98" s="213"/>
      <c r="K98" s="197" t="str">
        <f>IF($D98="Basic Overnight",(F98*G98*H98),IF($D98="Enhanced Overnight/Hardship",(F98*G98*VLOOKUP("Basic Overnight",Equipment!$B$43:$C$49,2,FALSE)),""))</f>
        <v/>
      </c>
      <c r="L98" s="240" t="str">
        <f>IFERROR(VLOOKUP(D98,Equipment!$B$46:$C$47,2,FALSE)*F98*G98," ")</f>
        <v xml:space="preserve"> </v>
      </c>
      <c r="M98" s="240" t="str">
        <f>IF($D98="Hardship Only",(F98*G98*H98),IF($D98="Enhanced Overnight/Hardship",(F98*G98*VLOOKUP("Hardship Only",Equipment!$B$43:$C$49,2,FALSE)),""))</f>
        <v/>
      </c>
      <c r="N98" s="246" t="str">
        <f t="shared" si="4"/>
        <v/>
      </c>
      <c r="O98" s="247" t="str">
        <f t="shared" si="5"/>
        <v/>
      </c>
      <c r="Q98" s="244"/>
      <c r="T98" s="97"/>
    </row>
    <row r="99" spans="2:20">
      <c r="B99" s="188"/>
      <c r="C99" s="189"/>
      <c r="D99" s="234" t="s">
        <v>192</v>
      </c>
      <c r="E99" s="189"/>
      <c r="F99" s="245"/>
      <c r="G99" s="245"/>
      <c r="H99" s="237" t="str">
        <f>IF(D99="please Choose"," ",VLOOKUP(D99,Equipment!$B$42:$C$48,2,FALSE))</f>
        <v xml:space="preserve"> </v>
      </c>
      <c r="I99" s="238"/>
      <c r="J99" s="213"/>
      <c r="K99" s="197" t="str">
        <f>IF($D99="Basic Overnight",(F99*G99*H99),IF($D99="Enhanced Overnight/Hardship",(F99*G99*VLOOKUP("Basic Overnight",Equipment!$B$43:$C$49,2,FALSE)),""))</f>
        <v/>
      </c>
      <c r="L99" s="240" t="str">
        <f>IFERROR(VLOOKUP(D99,Equipment!$B$46:$C$47,2,FALSE)*F99*G99," ")</f>
        <v xml:space="preserve"> </v>
      </c>
      <c r="M99" s="240" t="str">
        <f>IF($D99="Hardship Only",(F99*G99*H99),IF($D99="Enhanced Overnight/Hardship",(F99*G99*VLOOKUP("Hardship Only",Equipment!$B$43:$C$49,2,FALSE)),""))</f>
        <v/>
      </c>
      <c r="N99" s="246" t="str">
        <f t="shared" si="4"/>
        <v/>
      </c>
      <c r="O99" s="247" t="str">
        <f t="shared" si="5"/>
        <v/>
      </c>
      <c r="Q99" s="244"/>
      <c r="T99" s="97"/>
    </row>
    <row r="100" spans="2:20">
      <c r="B100" s="188"/>
      <c r="C100" s="189"/>
      <c r="D100" s="234" t="s">
        <v>192</v>
      </c>
      <c r="E100" s="189"/>
      <c r="F100" s="245"/>
      <c r="G100" s="245"/>
      <c r="H100" s="237" t="str">
        <f>IF(D100="please Choose"," ",VLOOKUP(D100,Equipment!$B$42:$C$48,2,FALSE))</f>
        <v xml:space="preserve"> </v>
      </c>
      <c r="I100" s="238"/>
      <c r="J100" s="213"/>
      <c r="K100" s="197" t="str">
        <f>IF($D100="Basic Overnight",(F100*G100*H100),IF($D100="Enhanced Overnight/Hardship",(F100*G100*VLOOKUP("Basic Overnight",Equipment!$B$43:$C$49,2,FALSE)),""))</f>
        <v/>
      </c>
      <c r="L100" s="240" t="str">
        <f>IFERROR(VLOOKUP(D100,Equipment!$B$46:$C$47,2,FALSE)*F100*G100," ")</f>
        <v xml:space="preserve"> </v>
      </c>
      <c r="M100" s="240" t="str">
        <f>IF($D100="Hardship Only",(F100*G100*H100),IF($D100="Enhanced Overnight/Hardship",(F100*G100*VLOOKUP("Hardship Only",Equipment!$B$43:$C$49,2,FALSE)),""))</f>
        <v/>
      </c>
      <c r="N100" s="246" t="str">
        <f t="shared" si="4"/>
        <v/>
      </c>
      <c r="O100" s="247" t="str">
        <f t="shared" si="5"/>
        <v/>
      </c>
      <c r="Q100" s="244"/>
      <c r="T100" s="97"/>
    </row>
    <row r="101" spans="2:20">
      <c r="B101" s="188"/>
      <c r="C101" s="189"/>
      <c r="D101" s="234" t="s">
        <v>192</v>
      </c>
      <c r="E101" s="189"/>
      <c r="F101" s="245"/>
      <c r="G101" s="245"/>
      <c r="H101" s="237" t="str">
        <f>IF(D101="please Choose"," ",VLOOKUP(D101,Equipment!$B$42:$C$48,2,FALSE))</f>
        <v xml:space="preserve"> </v>
      </c>
      <c r="I101" s="238"/>
      <c r="J101" s="213"/>
      <c r="K101" s="197" t="str">
        <f>IF($D101="Basic Overnight",(F101*G101*H101),IF($D101="Enhanced Overnight/Hardship",(F101*G101*VLOOKUP("Basic Overnight",Equipment!$B$43:$C$49,2,FALSE)),""))</f>
        <v/>
      </c>
      <c r="L101" s="240" t="str">
        <f>IFERROR(VLOOKUP(D101,Equipment!$B$46:$C$47,2,FALSE)*F101*G101," ")</f>
        <v xml:space="preserve"> </v>
      </c>
      <c r="M101" s="240" t="str">
        <f>IF($D101="Hardship Only",(F101*G101*H101),IF($D101="Enhanced Overnight/Hardship",(F101*G101*VLOOKUP("Hardship Only",Equipment!$B$43:$C$49,2,FALSE)),""))</f>
        <v/>
      </c>
      <c r="N101" s="246" t="str">
        <f t="shared" si="4"/>
        <v/>
      </c>
      <c r="O101" s="247" t="str">
        <f t="shared" si="5"/>
        <v/>
      </c>
      <c r="Q101" s="244"/>
      <c r="T101" s="97"/>
    </row>
    <row r="102" spans="2:20" ht="16.5" thickBot="1">
      <c r="B102" s="205"/>
      <c r="C102" s="206"/>
      <c r="D102" s="248" t="s">
        <v>192</v>
      </c>
      <c r="E102" s="206"/>
      <c r="F102" s="249"/>
      <c r="G102" s="249"/>
      <c r="H102" s="250" t="str">
        <f>IF(D102="please Choose"," ",VLOOKUP(D102,Equipment!$B$42:$C$48,2,FALSE))</f>
        <v xml:space="preserve"> </v>
      </c>
      <c r="I102" s="251"/>
      <c r="J102" s="213"/>
      <c r="K102" s="214" t="str">
        <f>IF($D102="Basic Overnight",(F102*G102*H102),IF($D102="Enhanced Overnight/Hardship",(F102*G102*VLOOKUP("Basic Overnight",Equipment!$B$43:$C$49,2,FALSE)),""))</f>
        <v/>
      </c>
      <c r="L102" s="252" t="str">
        <f>IFERROR(VLOOKUP(D102,Equipment!$B$46:$C$47,2,FALSE)*F102*G102," ")</f>
        <v xml:space="preserve"> </v>
      </c>
      <c r="M102" s="252" t="str">
        <f>IF($D102="Hardship Only",(F102*G102*H102),IF($D102="Enhanced Overnight/Hardship",(F102*G102*VLOOKUP("Hardship Only",Equipment!$B$43:$C$49,2,FALSE)),""))</f>
        <v/>
      </c>
      <c r="N102" s="253" t="str">
        <f t="shared" si="4"/>
        <v/>
      </c>
      <c r="O102" s="254" t="str">
        <f t="shared" si="5"/>
        <v/>
      </c>
      <c r="Q102" s="244"/>
      <c r="T102" s="97"/>
    </row>
    <row r="103" spans="2:20" ht="27.6" customHeight="1" thickBot="1">
      <c r="B103" s="255"/>
      <c r="C103" s="255"/>
      <c r="D103" s="255"/>
      <c r="E103" s="255"/>
      <c r="F103" s="255"/>
      <c r="G103" s="255"/>
      <c r="H103" s="255"/>
      <c r="I103" s="255"/>
      <c r="J103" s="256"/>
      <c r="K103" s="257"/>
      <c r="L103" s="729" t="s">
        <v>205</v>
      </c>
      <c r="M103" s="769"/>
      <c r="N103" s="730"/>
      <c r="O103" s="217">
        <f>SUM(O94:O102)</f>
        <v>0</v>
      </c>
      <c r="P103" s="244"/>
    </row>
    <row r="104" spans="2:20" ht="15" customHeight="1">
      <c r="B104" s="258"/>
      <c r="C104" s="721" t="str">
        <f>IF(D94="Inspectors Bonus","Any Inspector bonus/allowances for deployments such as Mutual Aid are considered by the NPCC outside the remit of the National Guidelines on Charging for Police Services: Mutual Aid Cost Recovery and not reclaimable from a recipient of the Mutual Aid."," ")</f>
        <v xml:space="preserve"> </v>
      </c>
      <c r="D104" s="721"/>
      <c r="E104" s="721"/>
      <c r="F104" s="721"/>
      <c r="G104" s="721"/>
      <c r="H104" s="721"/>
      <c r="I104" s="721"/>
      <c r="J104" s="256"/>
      <c r="K104" s="259"/>
      <c r="L104" s="259"/>
      <c r="M104" s="259"/>
      <c r="N104" s="259"/>
      <c r="P104" s="244"/>
    </row>
    <row r="105" spans="2:20" ht="16.5" thickBot="1">
      <c r="B105" s="258"/>
      <c r="C105" s="722"/>
      <c r="D105" s="722"/>
      <c r="E105" s="722"/>
      <c r="F105" s="722"/>
      <c r="G105" s="722"/>
      <c r="H105" s="722"/>
      <c r="I105" s="722"/>
      <c r="J105" s="256"/>
      <c r="K105" s="259"/>
      <c r="L105" s="259"/>
      <c r="M105" s="259"/>
      <c r="N105" s="259"/>
      <c r="P105" s="244"/>
    </row>
    <row r="106" spans="2:20" s="112" customFormat="1" ht="15" customHeight="1">
      <c r="B106" s="754" t="s">
        <v>368</v>
      </c>
      <c r="C106" s="755"/>
      <c r="D106" s="755"/>
      <c r="E106" s="755"/>
      <c r="F106" s="755"/>
      <c r="G106" s="755"/>
      <c r="H106" s="755"/>
      <c r="I106" s="756"/>
      <c r="J106" s="224"/>
      <c r="K106" s="723" t="s">
        <v>367</v>
      </c>
      <c r="L106" s="724"/>
      <c r="M106" s="724"/>
      <c r="N106" s="725"/>
    </row>
    <row r="107" spans="2:20" s="112" customFormat="1" ht="15.75" customHeight="1" thickBot="1">
      <c r="B107" s="757"/>
      <c r="C107" s="758"/>
      <c r="D107" s="758"/>
      <c r="E107" s="758"/>
      <c r="F107" s="758"/>
      <c r="G107" s="758"/>
      <c r="H107" s="758"/>
      <c r="I107" s="759"/>
      <c r="J107" s="224"/>
      <c r="K107" s="726"/>
      <c r="L107" s="727"/>
      <c r="M107" s="727"/>
      <c r="N107" s="728"/>
    </row>
    <row r="108" spans="2:20" s="182" customFormat="1" ht="44.25" customHeight="1" thickBot="1">
      <c r="B108" s="260" t="s">
        <v>0</v>
      </c>
      <c r="C108" s="260" t="s">
        <v>1</v>
      </c>
      <c r="D108" s="261" t="s">
        <v>260</v>
      </c>
      <c r="E108" s="731" t="s">
        <v>223</v>
      </c>
      <c r="F108" s="732"/>
      <c r="G108" s="261" t="s">
        <v>240</v>
      </c>
      <c r="H108" s="261" t="s">
        <v>241</v>
      </c>
      <c r="I108" s="261" t="s">
        <v>242</v>
      </c>
      <c r="J108" s="228"/>
      <c r="K108" s="229" t="s">
        <v>272</v>
      </c>
      <c r="L108" s="719"/>
      <c r="M108" s="720"/>
      <c r="N108" s="262" t="s">
        <v>231</v>
      </c>
      <c r="O108" s="187"/>
      <c r="P108" s="187"/>
      <c r="Q108" s="187"/>
      <c r="R108" s="187"/>
      <c r="S108" s="187"/>
    </row>
    <row r="109" spans="2:20">
      <c r="B109" s="263"/>
      <c r="C109" s="235"/>
      <c r="D109" s="264" t="s">
        <v>239</v>
      </c>
      <c r="E109" s="265"/>
      <c r="F109" s="266"/>
      <c r="G109" s="267"/>
      <c r="H109" s="267"/>
      <c r="I109" s="268"/>
      <c r="J109" s="213"/>
      <c r="K109" s="269" t="str">
        <f>IF($D109="Specialist equipment",(G109*H109*I109),"")</f>
        <v/>
      </c>
      <c r="L109" s="270"/>
      <c r="M109" s="271"/>
      <c r="N109" s="200" t="str">
        <f>IF(G109="","",(SUM(K109)))</f>
        <v/>
      </c>
    </row>
    <row r="110" spans="2:20">
      <c r="B110" s="188"/>
      <c r="C110" s="189"/>
      <c r="D110" s="264" t="s">
        <v>239</v>
      </c>
      <c r="E110" s="272"/>
      <c r="F110" s="273"/>
      <c r="G110" s="274"/>
      <c r="H110" s="274"/>
      <c r="I110" s="275"/>
      <c r="J110" s="213"/>
      <c r="K110" s="276" t="str">
        <f>IF($D110="Specialist equipment",(G110*H110*I110),"")</f>
        <v/>
      </c>
      <c r="L110" s="277"/>
      <c r="M110" s="278"/>
      <c r="N110" s="200" t="str">
        <f>IF(G110="","",(SUM(K110)))</f>
        <v/>
      </c>
    </row>
    <row r="111" spans="2:20" ht="16.5" thickBot="1">
      <c r="B111" s="205"/>
      <c r="C111" s="206"/>
      <c r="D111" s="248" t="s">
        <v>239</v>
      </c>
      <c r="E111" s="279"/>
      <c r="F111" s="280"/>
      <c r="G111" s="281"/>
      <c r="H111" s="281"/>
      <c r="I111" s="282"/>
      <c r="J111" s="213"/>
      <c r="K111" s="283" t="str">
        <f>IF($D111="Specialist equipment",(G111*H111*I111),"")</f>
        <v/>
      </c>
      <c r="L111" s="284"/>
      <c r="M111" s="285"/>
      <c r="N111" s="200" t="str">
        <f>IF(G111="","",(SUM(K111)))</f>
        <v/>
      </c>
    </row>
    <row r="112" spans="2:20" ht="18.75" customHeight="1" thickBot="1">
      <c r="B112" s="172"/>
      <c r="C112" s="286"/>
      <c r="D112" s="286"/>
      <c r="E112" s="286"/>
      <c r="F112" s="286"/>
      <c r="G112" s="286"/>
      <c r="H112" s="286"/>
      <c r="I112" s="286"/>
      <c r="J112" s="213"/>
      <c r="K112" s="257"/>
      <c r="L112" s="719" t="s">
        <v>244</v>
      </c>
      <c r="M112" s="753"/>
      <c r="N112" s="217">
        <f>SUM(N109:N111)</f>
        <v>0</v>
      </c>
    </row>
    <row r="113" spans="2:19" ht="27.75" customHeight="1">
      <c r="B113" s="258" t="s">
        <v>223</v>
      </c>
      <c r="C113" s="760" t="s">
        <v>243</v>
      </c>
      <c r="D113" s="760"/>
      <c r="E113" s="760"/>
      <c r="F113" s="760"/>
      <c r="G113" s="760"/>
      <c r="H113" s="760"/>
      <c r="I113" s="760"/>
      <c r="J113" s="287"/>
      <c r="K113" s="288"/>
      <c r="L113" s="289"/>
      <c r="M113" s="290"/>
      <c r="N113" s="291"/>
    </row>
    <row r="114" spans="2:19" ht="3.75" customHeight="1">
      <c r="B114" s="172"/>
      <c r="C114" s="286"/>
      <c r="D114" s="286"/>
      <c r="E114" s="286"/>
      <c r="F114" s="286"/>
      <c r="G114" s="286"/>
      <c r="H114" s="286"/>
      <c r="I114" s="286"/>
      <c r="J114" s="286"/>
      <c r="K114" s="292"/>
      <c r="L114" s="289"/>
      <c r="M114" s="290"/>
      <c r="N114" s="291"/>
    </row>
    <row r="115" spans="2:19" ht="16.5" thickBot="1">
      <c r="B115" s="98"/>
      <c r="C115" s="98"/>
      <c r="D115" s="98"/>
      <c r="E115" s="98"/>
      <c r="F115" s="98"/>
      <c r="G115" s="98"/>
      <c r="H115" s="98"/>
      <c r="I115" s="98"/>
      <c r="J115" s="256"/>
      <c r="K115" s="293"/>
      <c r="L115" s="293"/>
      <c r="M115" s="293"/>
      <c r="N115" s="293"/>
      <c r="P115" s="244"/>
    </row>
    <row r="116" spans="2:19" s="112" customFormat="1" ht="15" customHeight="1">
      <c r="B116" s="754" t="s">
        <v>381</v>
      </c>
      <c r="C116" s="755"/>
      <c r="D116" s="755"/>
      <c r="E116" s="755"/>
      <c r="F116" s="755"/>
      <c r="G116" s="755"/>
      <c r="H116" s="755"/>
      <c r="I116" s="756"/>
      <c r="J116" s="294"/>
      <c r="K116" s="723" t="s">
        <v>369</v>
      </c>
      <c r="L116" s="724"/>
      <c r="M116" s="724"/>
      <c r="N116" s="725"/>
    </row>
    <row r="117" spans="2:19" s="112" customFormat="1" ht="15.75" customHeight="1" thickBot="1">
      <c r="B117" s="757"/>
      <c r="C117" s="758"/>
      <c r="D117" s="758"/>
      <c r="E117" s="758"/>
      <c r="F117" s="758"/>
      <c r="G117" s="758"/>
      <c r="H117" s="758"/>
      <c r="I117" s="759"/>
      <c r="J117" s="294"/>
      <c r="K117" s="726"/>
      <c r="L117" s="727"/>
      <c r="M117" s="727"/>
      <c r="N117" s="728"/>
    </row>
    <row r="118" spans="2:19" s="182" customFormat="1" ht="44.25" customHeight="1" thickBot="1">
      <c r="B118" s="183" t="s">
        <v>0</v>
      </c>
      <c r="C118" s="183" t="s">
        <v>1</v>
      </c>
      <c r="D118" s="183" t="s">
        <v>233</v>
      </c>
      <c r="E118" s="183" t="s">
        <v>223</v>
      </c>
      <c r="F118" s="183" t="s">
        <v>4</v>
      </c>
      <c r="G118" s="183" t="s">
        <v>201</v>
      </c>
      <c r="H118" s="183" t="s">
        <v>200</v>
      </c>
      <c r="I118" s="184" t="s">
        <v>197</v>
      </c>
      <c r="J118" s="295"/>
      <c r="K118" s="296" t="s">
        <v>198</v>
      </c>
      <c r="L118" s="296" t="s">
        <v>221</v>
      </c>
      <c r="M118" s="296" t="s">
        <v>222</v>
      </c>
      <c r="N118" s="297" t="s">
        <v>199</v>
      </c>
      <c r="O118" s="187"/>
      <c r="P118" s="187"/>
      <c r="Q118" s="187"/>
      <c r="R118" s="187"/>
      <c r="S118" s="187"/>
    </row>
    <row r="119" spans="2:19">
      <c r="B119" s="188"/>
      <c r="C119" s="189"/>
      <c r="D119" s="234" t="s">
        <v>192</v>
      </c>
      <c r="E119" s="189"/>
      <c r="F119" s="193"/>
      <c r="G119" s="274"/>
      <c r="H119" s="193"/>
      <c r="I119" s="298" t="str">
        <f>IF(G119="","",VLOOKUP($D119,Equipment!$B$21:$E$31,2,FALSE))</f>
        <v/>
      </c>
      <c r="J119" s="299"/>
      <c r="K119" s="300" t="str">
        <f>IF(G119="","",VLOOKUP($D119,Equipment!$B$21:$E$31,4,FALSE))</f>
        <v/>
      </c>
      <c r="L119" s="301" t="str">
        <f>IF($G119="","",$H119*$K119)</f>
        <v/>
      </c>
      <c r="M119" s="302" t="str">
        <f>IF($G119="","",$I119*$G119*$F119)</f>
        <v/>
      </c>
      <c r="N119" s="200" t="str">
        <f>IF(I119="","",L119+M119)</f>
        <v/>
      </c>
    </row>
    <row r="120" spans="2:19" s="97" customFormat="1" ht="15" customHeight="1">
      <c r="B120" s="188"/>
      <c r="C120" s="189"/>
      <c r="D120" s="234" t="s">
        <v>192</v>
      </c>
      <c r="E120" s="189"/>
      <c r="F120" s="193"/>
      <c r="G120" s="274"/>
      <c r="H120" s="193"/>
      <c r="I120" s="298" t="str">
        <f>IF(G120="","",VLOOKUP($D120,Equipment!$B$21:$E$31,2,FALSE))</f>
        <v/>
      </c>
      <c r="J120" s="299"/>
      <c r="K120" s="300" t="str">
        <f>IF(G120="","",VLOOKUP($D120,Equipment!$B$21:$E$31,4,FALSE))</f>
        <v/>
      </c>
      <c r="L120" s="301" t="str">
        <f t="shared" ref="L120:L127" si="6">IF(G120="","",H120*K120)</f>
        <v/>
      </c>
      <c r="M120" s="303" t="str">
        <f t="shared" ref="M120:M127" si="7">IF($G120="","",$I120*$G120*$F120)</f>
        <v/>
      </c>
      <c r="N120" s="200" t="str">
        <f t="shared" ref="N120:N127" si="8">IF(I120="","",L120+M120)</f>
        <v/>
      </c>
    </row>
    <row r="121" spans="2:19" s="97" customFormat="1" ht="15.75" customHeight="1">
      <c r="B121" s="188"/>
      <c r="C121" s="189"/>
      <c r="D121" s="234" t="s">
        <v>192</v>
      </c>
      <c r="E121" s="189"/>
      <c r="F121" s="193"/>
      <c r="G121" s="274"/>
      <c r="H121" s="193"/>
      <c r="I121" s="298" t="str">
        <f>IF(G121="","",VLOOKUP($D121,Equipment!$B$21:$E$31,2,FALSE))</f>
        <v/>
      </c>
      <c r="J121" s="299"/>
      <c r="K121" s="300" t="str">
        <f>IF(G121="","",VLOOKUP($D121,Equipment!$B$21:$E$31,4,FALSE))</f>
        <v/>
      </c>
      <c r="L121" s="301" t="str">
        <f t="shared" si="6"/>
        <v/>
      </c>
      <c r="M121" s="303" t="str">
        <f t="shared" si="7"/>
        <v/>
      </c>
      <c r="N121" s="200" t="str">
        <f t="shared" si="8"/>
        <v/>
      </c>
    </row>
    <row r="122" spans="2:19">
      <c r="B122" s="188"/>
      <c r="C122" s="189"/>
      <c r="D122" s="234" t="s">
        <v>192</v>
      </c>
      <c r="E122" s="189"/>
      <c r="F122" s="193"/>
      <c r="G122" s="274"/>
      <c r="H122" s="193"/>
      <c r="I122" s="298" t="str">
        <f>IF(G122="","",VLOOKUP($D122,Equipment!$B$21:$E$31,2,FALSE))</f>
        <v/>
      </c>
      <c r="J122" s="299"/>
      <c r="K122" s="300" t="str">
        <f>IF(G122="","",VLOOKUP($D122,Equipment!$B$21:$E$31,4,FALSE))</f>
        <v/>
      </c>
      <c r="L122" s="301" t="str">
        <f t="shared" si="6"/>
        <v/>
      </c>
      <c r="M122" s="303" t="str">
        <f t="shared" si="7"/>
        <v/>
      </c>
      <c r="N122" s="200" t="str">
        <f t="shared" si="8"/>
        <v/>
      </c>
    </row>
    <row r="123" spans="2:19">
      <c r="B123" s="188"/>
      <c r="C123" s="189"/>
      <c r="D123" s="234" t="s">
        <v>192</v>
      </c>
      <c r="E123" s="189"/>
      <c r="F123" s="193"/>
      <c r="G123" s="274"/>
      <c r="H123" s="193"/>
      <c r="I123" s="298" t="str">
        <f>IF(G123="","",VLOOKUP($D123,Equipment!$B$21:$E$31,2,FALSE))</f>
        <v/>
      </c>
      <c r="J123" s="299"/>
      <c r="K123" s="300" t="str">
        <f>IF(G123="","",VLOOKUP($D123,Equipment!$B$21:$E$31,4,FALSE))</f>
        <v/>
      </c>
      <c r="L123" s="301" t="str">
        <f t="shared" si="6"/>
        <v/>
      </c>
      <c r="M123" s="303" t="str">
        <f t="shared" si="7"/>
        <v/>
      </c>
      <c r="N123" s="200" t="str">
        <f t="shared" si="8"/>
        <v/>
      </c>
    </row>
    <row r="124" spans="2:19">
      <c r="B124" s="188"/>
      <c r="C124" s="189"/>
      <c r="D124" s="234" t="s">
        <v>192</v>
      </c>
      <c r="E124" s="189"/>
      <c r="F124" s="193"/>
      <c r="G124" s="274"/>
      <c r="H124" s="193"/>
      <c r="I124" s="298" t="str">
        <f>IF(G124="","",VLOOKUP($D124,Equipment!$B$21:$E$31,2,FALSE))</f>
        <v/>
      </c>
      <c r="J124" s="299"/>
      <c r="K124" s="300" t="str">
        <f>IF(G124="","",VLOOKUP($D124,Equipment!$B$21:$E$31,4,FALSE))</f>
        <v/>
      </c>
      <c r="L124" s="301" t="str">
        <f t="shared" si="6"/>
        <v/>
      </c>
      <c r="M124" s="303" t="str">
        <f t="shared" si="7"/>
        <v/>
      </c>
      <c r="N124" s="200" t="str">
        <f t="shared" si="8"/>
        <v/>
      </c>
    </row>
    <row r="125" spans="2:19">
      <c r="B125" s="188"/>
      <c r="C125" s="189"/>
      <c r="D125" s="234" t="s">
        <v>192</v>
      </c>
      <c r="E125" s="189"/>
      <c r="F125" s="193"/>
      <c r="G125" s="274"/>
      <c r="H125" s="193"/>
      <c r="I125" s="298" t="str">
        <f>IF(G125="","",VLOOKUP($D125,Equipment!$B$21:$E$31,2,FALSE))</f>
        <v/>
      </c>
      <c r="J125" s="299"/>
      <c r="K125" s="300" t="str">
        <f>IF(G125="","",VLOOKUP($D125,Equipment!$B$21:$E$31,4,FALSE))</f>
        <v/>
      </c>
      <c r="L125" s="301" t="str">
        <f t="shared" si="6"/>
        <v/>
      </c>
      <c r="M125" s="303" t="str">
        <f t="shared" si="7"/>
        <v/>
      </c>
      <c r="N125" s="200" t="str">
        <f t="shared" si="8"/>
        <v/>
      </c>
    </row>
    <row r="126" spans="2:19">
      <c r="B126" s="188"/>
      <c r="C126" s="189"/>
      <c r="D126" s="234" t="s">
        <v>192</v>
      </c>
      <c r="E126" s="189"/>
      <c r="F126" s="193"/>
      <c r="G126" s="274"/>
      <c r="H126" s="193"/>
      <c r="I126" s="298" t="str">
        <f>IF(G126="","",VLOOKUP($D126,Equipment!$B$21:$E$31,2,FALSE))</f>
        <v/>
      </c>
      <c r="J126" s="299"/>
      <c r="K126" s="300" t="str">
        <f>IF(G126="","",VLOOKUP($D126,Equipment!$B$21:$E$31,4,FALSE))</f>
        <v/>
      </c>
      <c r="L126" s="301" t="str">
        <f t="shared" si="6"/>
        <v/>
      </c>
      <c r="M126" s="303" t="str">
        <f t="shared" si="7"/>
        <v/>
      </c>
      <c r="N126" s="200" t="str">
        <f t="shared" si="8"/>
        <v/>
      </c>
    </row>
    <row r="127" spans="2:19" ht="16.5" thickBot="1">
      <c r="B127" s="205"/>
      <c r="C127" s="206"/>
      <c r="D127" s="248" t="s">
        <v>192</v>
      </c>
      <c r="E127" s="206"/>
      <c r="F127" s="210"/>
      <c r="G127" s="281"/>
      <c r="H127" s="210"/>
      <c r="I127" s="304" t="str">
        <f>IF(G127="","",VLOOKUP($D127,Equipment!$B$21:$E$31,2,FALSE))</f>
        <v/>
      </c>
      <c r="J127" s="299"/>
      <c r="K127" s="305" t="str">
        <f>IF(G127="","",VLOOKUP($D127,Equipment!$B$21:$E$31,4,FALSE))</f>
        <v/>
      </c>
      <c r="L127" s="306" t="str">
        <f t="shared" si="6"/>
        <v/>
      </c>
      <c r="M127" s="307" t="str">
        <f t="shared" si="7"/>
        <v/>
      </c>
      <c r="N127" s="215" t="str">
        <f t="shared" si="8"/>
        <v/>
      </c>
    </row>
    <row r="128" spans="2:19" ht="16.5" thickBot="1">
      <c r="B128" s="308"/>
      <c r="C128" s="308"/>
      <c r="D128" s="308"/>
      <c r="E128" s="308"/>
      <c r="F128" s="299"/>
      <c r="G128" s="299"/>
      <c r="H128" s="299"/>
      <c r="I128" s="309"/>
      <c r="J128" s="299"/>
      <c r="K128" s="257"/>
      <c r="L128" s="703" t="s">
        <v>203</v>
      </c>
      <c r="M128" s="704"/>
      <c r="N128" s="310">
        <f>SUM(N119:N127)</f>
        <v>0</v>
      </c>
    </row>
    <row r="129" spans="2:19" ht="16.5" customHeight="1" thickBot="1">
      <c r="B129" s="308"/>
      <c r="C129" s="308"/>
      <c r="D129" s="705" t="s">
        <v>219</v>
      </c>
      <c r="E129" s="706"/>
      <c r="F129" s="311">
        <v>1.39</v>
      </c>
      <c r="G129" s="299"/>
      <c r="H129" s="299"/>
      <c r="I129" s="309"/>
      <c r="J129" s="299"/>
      <c r="K129" s="257"/>
      <c r="L129" s="312"/>
      <c r="M129" s="313"/>
      <c r="N129" s="314"/>
    </row>
    <row r="130" spans="2:19" ht="16.5" customHeight="1" thickBot="1">
      <c r="B130" s="308"/>
      <c r="C130" s="308"/>
      <c r="D130" s="705" t="s">
        <v>220</v>
      </c>
      <c r="E130" s="706"/>
      <c r="F130" s="311">
        <v>1.47</v>
      </c>
      <c r="G130" s="299"/>
      <c r="H130" s="299"/>
      <c r="I130" s="309"/>
      <c r="J130" s="299"/>
      <c r="K130" s="257"/>
      <c r="L130" s="312"/>
      <c r="M130" s="313"/>
      <c r="N130" s="315"/>
    </row>
    <row r="131" spans="2:19" ht="16.5" thickBot="1">
      <c r="B131" s="218"/>
      <c r="C131" s="218"/>
      <c r="D131" s="218"/>
      <c r="E131" s="218"/>
      <c r="F131" s="218"/>
      <c r="G131" s="218"/>
      <c r="H131" s="218"/>
      <c r="I131" s="219"/>
      <c r="J131" s="213"/>
      <c r="K131" s="316"/>
      <c r="L131" s="289"/>
      <c r="M131" s="290"/>
      <c r="N131" s="317"/>
    </row>
    <row r="132" spans="2:19" s="112" customFormat="1" ht="15" customHeight="1">
      <c r="B132" s="779" t="s">
        <v>382</v>
      </c>
      <c r="C132" s="780"/>
      <c r="D132" s="780"/>
      <c r="E132" s="780"/>
      <c r="F132" s="780"/>
      <c r="G132" s="780"/>
      <c r="H132" s="780"/>
      <c r="I132" s="781"/>
      <c r="J132" s="224"/>
      <c r="K132" s="723" t="s">
        <v>370</v>
      </c>
      <c r="L132" s="724"/>
      <c r="M132" s="724"/>
      <c r="N132" s="725"/>
    </row>
    <row r="133" spans="2:19" s="112" customFormat="1" ht="15.75" customHeight="1" thickBot="1">
      <c r="B133" s="782"/>
      <c r="C133" s="783"/>
      <c r="D133" s="783"/>
      <c r="E133" s="783"/>
      <c r="F133" s="783"/>
      <c r="G133" s="783"/>
      <c r="H133" s="783"/>
      <c r="I133" s="784"/>
      <c r="J133" s="224"/>
      <c r="K133" s="726"/>
      <c r="L133" s="727"/>
      <c r="M133" s="727"/>
      <c r="N133" s="728"/>
    </row>
    <row r="134" spans="2:19" s="182" customFormat="1" ht="44.25" customHeight="1" thickBot="1">
      <c r="B134" s="226" t="s">
        <v>0</v>
      </c>
      <c r="C134" s="226" t="s">
        <v>1</v>
      </c>
      <c r="D134" s="227" t="s">
        <v>259</v>
      </c>
      <c r="E134" s="742" t="s">
        <v>223</v>
      </c>
      <c r="F134" s="743"/>
      <c r="G134" s="743"/>
      <c r="H134" s="743"/>
      <c r="I134" s="744"/>
      <c r="J134" s="228"/>
      <c r="K134" s="318" t="s">
        <v>237</v>
      </c>
      <c r="L134" s="719"/>
      <c r="M134" s="720"/>
      <c r="N134" s="319" t="s">
        <v>238</v>
      </c>
      <c r="O134" s="187"/>
      <c r="P134" s="187"/>
      <c r="Q134" s="187"/>
      <c r="R134" s="187"/>
      <c r="S134" s="187"/>
    </row>
    <row r="135" spans="2:19">
      <c r="B135" s="263"/>
      <c r="C135" s="235"/>
      <c r="D135" s="264" t="s">
        <v>234</v>
      </c>
      <c r="E135" s="707"/>
      <c r="F135" s="708"/>
      <c r="G135" s="708"/>
      <c r="H135" s="708"/>
      <c r="I135" s="709"/>
      <c r="J135" s="299"/>
      <c r="K135" s="320"/>
      <c r="L135" s="270"/>
      <c r="M135" s="271"/>
      <c r="N135" s="321" t="str">
        <f>IF(K135="","",K135)</f>
        <v/>
      </c>
    </row>
    <row r="136" spans="2:19">
      <c r="B136" s="188"/>
      <c r="C136" s="189"/>
      <c r="D136" s="264" t="s">
        <v>234</v>
      </c>
      <c r="E136" s="739"/>
      <c r="F136" s="740"/>
      <c r="G136" s="740"/>
      <c r="H136" s="740"/>
      <c r="I136" s="741"/>
      <c r="J136" s="299"/>
      <c r="K136" s="323"/>
      <c r="L136" s="277"/>
      <c r="M136" s="278"/>
      <c r="N136" s="321" t="str">
        <f t="shared" ref="N136:N143" si="9">IF(K136="","",K136)</f>
        <v/>
      </c>
    </row>
    <row r="137" spans="2:19">
      <c r="B137" s="188"/>
      <c r="C137" s="189"/>
      <c r="D137" s="264" t="s">
        <v>234</v>
      </c>
      <c r="E137" s="739"/>
      <c r="F137" s="740"/>
      <c r="G137" s="740"/>
      <c r="H137" s="740"/>
      <c r="I137" s="741"/>
      <c r="J137" s="299"/>
      <c r="K137" s="323"/>
      <c r="L137" s="277"/>
      <c r="M137" s="278"/>
      <c r="N137" s="321" t="str">
        <f t="shared" si="9"/>
        <v/>
      </c>
    </row>
    <row r="138" spans="2:19">
      <c r="B138" s="188"/>
      <c r="C138" s="189"/>
      <c r="D138" s="264" t="s">
        <v>234</v>
      </c>
      <c r="E138" s="739"/>
      <c r="F138" s="740"/>
      <c r="G138" s="740"/>
      <c r="H138" s="740"/>
      <c r="I138" s="741"/>
      <c r="J138" s="299"/>
      <c r="K138" s="323"/>
      <c r="L138" s="277"/>
      <c r="M138" s="278"/>
      <c r="N138" s="321" t="str">
        <f t="shared" si="9"/>
        <v/>
      </c>
    </row>
    <row r="139" spans="2:19">
      <c r="B139" s="188"/>
      <c r="C139" s="189"/>
      <c r="D139" s="264" t="s">
        <v>234</v>
      </c>
      <c r="E139" s="739"/>
      <c r="F139" s="740"/>
      <c r="G139" s="740"/>
      <c r="H139" s="740"/>
      <c r="I139" s="741"/>
      <c r="J139" s="299"/>
      <c r="K139" s="323"/>
      <c r="L139" s="277"/>
      <c r="M139" s="278"/>
      <c r="N139" s="321" t="str">
        <f t="shared" si="9"/>
        <v/>
      </c>
    </row>
    <row r="140" spans="2:19">
      <c r="B140" s="188"/>
      <c r="C140" s="189"/>
      <c r="D140" s="264" t="s">
        <v>234</v>
      </c>
      <c r="E140" s="739"/>
      <c r="F140" s="740"/>
      <c r="G140" s="740"/>
      <c r="H140" s="740"/>
      <c r="I140" s="741"/>
      <c r="J140" s="299"/>
      <c r="K140" s="323"/>
      <c r="L140" s="277"/>
      <c r="M140" s="278"/>
      <c r="N140" s="321" t="str">
        <f t="shared" si="9"/>
        <v/>
      </c>
    </row>
    <row r="141" spans="2:19">
      <c r="B141" s="188"/>
      <c r="C141" s="189"/>
      <c r="D141" s="264" t="s">
        <v>234</v>
      </c>
      <c r="E141" s="739"/>
      <c r="F141" s="740"/>
      <c r="G141" s="740"/>
      <c r="H141" s="740"/>
      <c r="I141" s="741"/>
      <c r="J141" s="299"/>
      <c r="K141" s="323"/>
      <c r="L141" s="277"/>
      <c r="M141" s="278"/>
      <c r="N141" s="321" t="str">
        <f t="shared" si="9"/>
        <v/>
      </c>
    </row>
    <row r="142" spans="2:19">
      <c r="B142" s="188"/>
      <c r="C142" s="189"/>
      <c r="D142" s="264" t="s">
        <v>234</v>
      </c>
      <c r="E142" s="739"/>
      <c r="F142" s="740"/>
      <c r="G142" s="740"/>
      <c r="H142" s="740"/>
      <c r="I142" s="741"/>
      <c r="J142" s="299"/>
      <c r="K142" s="323"/>
      <c r="L142" s="277"/>
      <c r="M142" s="278"/>
      <c r="N142" s="321" t="str">
        <f t="shared" si="9"/>
        <v/>
      </c>
    </row>
    <row r="143" spans="2:19" ht="16.5" thickBot="1">
      <c r="B143" s="205"/>
      <c r="C143" s="206"/>
      <c r="D143" s="324" t="s">
        <v>234</v>
      </c>
      <c r="E143" s="837"/>
      <c r="F143" s="838"/>
      <c r="G143" s="838"/>
      <c r="H143" s="838"/>
      <c r="I143" s="839"/>
      <c r="J143" s="299"/>
      <c r="K143" s="326"/>
      <c r="L143" s="284"/>
      <c r="M143" s="285"/>
      <c r="N143" s="327" t="str">
        <f t="shared" si="9"/>
        <v/>
      </c>
    </row>
    <row r="144" spans="2:19" ht="23.25" customHeight="1" thickBot="1">
      <c r="B144" s="328"/>
      <c r="C144" s="328"/>
      <c r="D144" s="328"/>
      <c r="E144" s="328"/>
      <c r="F144" s="328"/>
      <c r="G144" s="328"/>
      <c r="H144" s="328"/>
      <c r="I144" s="328"/>
      <c r="J144" s="299"/>
      <c r="K144" s="257"/>
      <c r="L144" s="777" t="s">
        <v>246</v>
      </c>
      <c r="M144" s="778"/>
      <c r="N144" s="310">
        <f>SUM(N135:N143)</f>
        <v>0</v>
      </c>
    </row>
    <row r="145" spans="2:14" ht="16.5" thickBot="1">
      <c r="B145" s="255"/>
      <c r="C145" s="255"/>
      <c r="D145" s="255"/>
      <c r="E145" s="255"/>
      <c r="F145" s="255"/>
      <c r="G145" s="255"/>
      <c r="H145" s="255"/>
      <c r="I145" s="255"/>
      <c r="J145" s="213"/>
      <c r="K145" s="259"/>
      <c r="L145" s="259"/>
      <c r="M145" s="259"/>
      <c r="N145" s="259"/>
    </row>
    <row r="146" spans="2:14" ht="15.75" customHeight="1">
      <c r="B146" s="329" t="s">
        <v>138</v>
      </c>
      <c r="C146" s="133"/>
      <c r="D146" s="133"/>
      <c r="E146" s="133"/>
      <c r="F146" s="133"/>
      <c r="G146" s="286"/>
      <c r="H146" s="286"/>
      <c r="I146" s="286"/>
      <c r="J146" s="723" t="s">
        <v>245</v>
      </c>
      <c r="K146" s="843"/>
      <c r="L146" s="843"/>
      <c r="M146" s="843"/>
      <c r="N146" s="844"/>
    </row>
    <row r="147" spans="2:14" ht="15.75" customHeight="1" thickBot="1">
      <c r="B147" s="136"/>
      <c r="C147" s="98"/>
      <c r="D147" s="98"/>
      <c r="E147" s="98"/>
      <c r="F147" s="98"/>
      <c r="G147" s="286"/>
      <c r="H147" s="286"/>
      <c r="I147" s="286"/>
      <c r="J147" s="845"/>
      <c r="K147" s="677"/>
      <c r="L147" s="677"/>
      <c r="M147" s="677"/>
      <c r="N147" s="846"/>
    </row>
    <row r="148" spans="2:14">
      <c r="B148" s="136" t="s">
        <v>100</v>
      </c>
      <c r="C148" s="98"/>
      <c r="D148" s="673" t="str">
        <f>IF(D28="","",D28)</f>
        <v/>
      </c>
      <c r="E148" s="674" t="e">
        <f>IF(#REF!="","",#REF!*#REF!*B148)</f>
        <v>#REF!</v>
      </c>
      <c r="F148" s="675" t="e">
        <f>IF(#REF!="","",B148*#REF!*C148)</f>
        <v>#REF!</v>
      </c>
      <c r="J148" s="785" t="s">
        <v>322</v>
      </c>
      <c r="K148" s="786"/>
      <c r="L148" s="786"/>
      <c r="M148" s="787">
        <f>N89+'IDR ADDL FORM'!M148:N148</f>
        <v>0</v>
      </c>
      <c r="N148" s="788"/>
    </row>
    <row r="149" spans="2:14">
      <c r="B149" s="136"/>
      <c r="C149" s="98"/>
      <c r="D149" s="137"/>
      <c r="E149" s="137"/>
      <c r="F149" s="137"/>
      <c r="J149" s="785" t="s">
        <v>323</v>
      </c>
      <c r="K149" s="786"/>
      <c r="L149" s="786"/>
      <c r="M149" s="822">
        <f>O103+'IDR ADDL FORM'!M150:N150</f>
        <v>0</v>
      </c>
      <c r="N149" s="823"/>
    </row>
    <row r="150" spans="2:14">
      <c r="B150" s="136" t="s">
        <v>101</v>
      </c>
      <c r="C150" s="98"/>
      <c r="D150" s="673" t="str">
        <f>IF(D30="","",D30)</f>
        <v/>
      </c>
      <c r="E150" s="674" t="e">
        <f>IF(#REF!="","",#REF!*#REF!*B150)</f>
        <v>#REF!</v>
      </c>
      <c r="F150" s="675" t="e">
        <f>IF(#REF!="","",B150*#REF!*C150)</f>
        <v>#REF!</v>
      </c>
      <c r="J150" s="785" t="s">
        <v>324</v>
      </c>
      <c r="K150" s="786"/>
      <c r="L150" s="786"/>
      <c r="M150" s="822">
        <f>N128+'IDR ADDL FORM'!M151:N151</f>
        <v>0</v>
      </c>
      <c r="N150" s="823"/>
    </row>
    <row r="151" spans="2:14" ht="15" customHeight="1">
      <c r="B151" s="136"/>
      <c r="C151" s="98"/>
      <c r="D151" s="137"/>
      <c r="E151" s="137"/>
      <c r="F151" s="137"/>
      <c r="J151" s="785" t="s">
        <v>325</v>
      </c>
      <c r="K151" s="786"/>
      <c r="L151" s="786"/>
      <c r="M151" s="822">
        <f>N144+'IDR ADDL FORM'!M152:N152</f>
        <v>0</v>
      </c>
      <c r="N151" s="823"/>
    </row>
    <row r="152" spans="2:14" ht="15.75" customHeight="1">
      <c r="B152" s="136" t="s">
        <v>137</v>
      </c>
      <c r="C152" s="98"/>
      <c r="D152" s="673" t="str">
        <f>IF(D32="","",D32)</f>
        <v/>
      </c>
      <c r="E152" s="674" t="e">
        <f>IF(#REF!="","",#REF!*#REF!*B152)</f>
        <v>#REF!</v>
      </c>
      <c r="F152" s="675" t="e">
        <f>IF(#REF!="","",B152*#REF!*C152)</f>
        <v>#REF!</v>
      </c>
      <c r="J152" s="785" t="s">
        <v>326</v>
      </c>
      <c r="K152" s="786"/>
      <c r="L152" s="786"/>
      <c r="M152" s="822">
        <f>N112+'IDR ADDL FORM'!M153:N153</f>
        <v>0</v>
      </c>
      <c r="N152" s="823"/>
    </row>
    <row r="153" spans="2:14" ht="16.5" thickBot="1">
      <c r="B153" s="136"/>
      <c r="C153" s="98"/>
      <c r="D153" s="137"/>
      <c r="E153" s="137"/>
      <c r="F153" s="137"/>
      <c r="J153" s="794" t="s">
        <v>327</v>
      </c>
      <c r="K153" s="795"/>
      <c r="L153" s="795"/>
      <c r="M153" s="771">
        <f>SUM(M148:N152)</f>
        <v>0</v>
      </c>
      <c r="N153" s="772"/>
    </row>
    <row r="154" spans="2:14" ht="16.5" customHeight="1" thickBot="1">
      <c r="B154" s="332" t="s">
        <v>374</v>
      </c>
      <c r="D154" s="806"/>
      <c r="E154" s="807"/>
      <c r="F154" s="807"/>
      <c r="G154" s="807"/>
      <c r="H154" s="808"/>
      <c r="J154" s="796" t="s">
        <v>312</v>
      </c>
      <c r="K154" s="797"/>
      <c r="L154" s="797"/>
      <c r="M154" s="773">
        <f>'TDR RESOURCES'!M139:N139</f>
        <v>0</v>
      </c>
      <c r="N154" s="774"/>
    </row>
    <row r="155" spans="2:14" ht="15.6" customHeight="1">
      <c r="D155" s="809"/>
      <c r="E155" s="810"/>
      <c r="F155" s="810"/>
      <c r="G155" s="810"/>
      <c r="H155" s="811"/>
      <c r="J155" s="798" t="s">
        <v>371</v>
      </c>
      <c r="K155" s="799"/>
      <c r="L155" s="800"/>
      <c r="M155" s="775">
        <f>SUM(M153:N154)</f>
        <v>0</v>
      </c>
      <c r="N155" s="776"/>
    </row>
    <row r="156" spans="2:14" ht="18.75" customHeight="1" thickBot="1">
      <c r="D156" s="809"/>
      <c r="E156" s="810"/>
      <c r="F156" s="810"/>
      <c r="G156" s="810"/>
      <c r="H156" s="811"/>
      <c r="J156" s="801" t="str">
        <f>IF(B21="UKFPU","ADMIN FEE @ 0%",IF(B21="COP 26 - POLICE SCOTLAND","ADMIN FEE @ 2.5%","ADMIN FEE @ 5%"))</f>
        <v>ADMIN FEE @ 5%</v>
      </c>
      <c r="K156" s="802"/>
      <c r="L156" s="802"/>
      <c r="M156" s="824">
        <f>IF(B21="UKFPU",0,ROUND(M155*0.05,2))</f>
        <v>0</v>
      </c>
      <c r="N156" s="776"/>
    </row>
    <row r="157" spans="2:14" ht="20.45" customHeight="1" thickBot="1">
      <c r="D157" s="812"/>
      <c r="E157" s="813"/>
      <c r="F157" s="813"/>
      <c r="G157" s="813"/>
      <c r="H157" s="814"/>
      <c r="J157" s="791" t="s">
        <v>372</v>
      </c>
      <c r="K157" s="792"/>
      <c r="L157" s="793"/>
      <c r="M157" s="821">
        <f>SUM(M155:N156)</f>
        <v>0</v>
      </c>
      <c r="N157" s="821"/>
    </row>
    <row r="158" spans="2:14" ht="16.5" thickBot="1">
      <c r="B158" s="95"/>
    </row>
    <row r="159" spans="2:14" ht="15" customHeight="1">
      <c r="B159" s="840" t="s">
        <v>308</v>
      </c>
      <c r="C159" s="841"/>
      <c r="D159" s="841"/>
      <c r="E159" s="841"/>
      <c r="F159" s="841"/>
      <c r="G159" s="841"/>
      <c r="H159" s="841"/>
      <c r="I159" s="841"/>
      <c r="J159" s="841"/>
      <c r="K159" s="841"/>
      <c r="L159" s="841"/>
      <c r="M159" s="841"/>
      <c r="N159" s="842"/>
    </row>
    <row r="160" spans="2:14" ht="15.75" customHeight="1">
      <c r="B160" s="815" t="s">
        <v>309</v>
      </c>
      <c r="C160" s="816"/>
      <c r="D160" s="816"/>
      <c r="E160" s="816"/>
      <c r="F160" s="816"/>
      <c r="G160" s="816"/>
      <c r="H160" s="816"/>
      <c r="I160" s="816"/>
      <c r="J160" s="816"/>
      <c r="K160" s="816"/>
      <c r="L160" s="816"/>
      <c r="M160" s="816"/>
      <c r="N160" s="817"/>
    </row>
    <row r="161" spans="2:14" ht="15" customHeight="1">
      <c r="B161" s="815" t="s">
        <v>310</v>
      </c>
      <c r="C161" s="816"/>
      <c r="D161" s="816"/>
      <c r="E161" s="816"/>
      <c r="F161" s="816"/>
      <c r="G161" s="816"/>
      <c r="H161" s="816"/>
      <c r="I161" s="816"/>
      <c r="J161" s="816"/>
      <c r="K161" s="816"/>
      <c r="L161" s="816"/>
      <c r="M161" s="816"/>
      <c r="N161" s="817"/>
    </row>
    <row r="162" spans="2:14" ht="15" customHeight="1">
      <c r="B162" s="815" t="s">
        <v>379</v>
      </c>
      <c r="C162" s="816"/>
      <c r="D162" s="816"/>
      <c r="E162" s="816"/>
      <c r="F162" s="816"/>
      <c r="G162" s="816"/>
      <c r="H162" s="816"/>
      <c r="I162" s="816"/>
      <c r="J162" s="816"/>
      <c r="K162" s="816"/>
      <c r="L162" s="816"/>
      <c r="M162" s="816"/>
      <c r="N162" s="817"/>
    </row>
    <row r="163" spans="2:14" ht="15" customHeight="1" thickBot="1">
      <c r="B163" s="818" t="s">
        <v>373</v>
      </c>
      <c r="C163" s="819"/>
      <c r="D163" s="819"/>
      <c r="E163" s="819"/>
      <c r="F163" s="819"/>
      <c r="G163" s="819"/>
      <c r="H163" s="819"/>
      <c r="I163" s="819"/>
      <c r="J163" s="819"/>
      <c r="K163" s="819"/>
      <c r="L163" s="819"/>
      <c r="M163" s="819"/>
      <c r="N163" s="820"/>
    </row>
    <row r="164" spans="2:14" ht="16.5" thickBot="1"/>
    <row r="165" spans="2:14" ht="15" customHeight="1">
      <c r="B165" s="333" t="s">
        <v>249</v>
      </c>
      <c r="C165" s="334"/>
      <c r="D165" s="334"/>
      <c r="E165" s="335"/>
      <c r="G165" s="828" t="s">
        <v>247</v>
      </c>
      <c r="H165" s="829"/>
      <c r="I165" s="829"/>
      <c r="J165" s="829"/>
      <c r="K165" s="829"/>
      <c r="L165" s="829"/>
      <c r="M165" s="829"/>
      <c r="N165" s="830"/>
    </row>
    <row r="166" spans="2:14" ht="15" customHeight="1">
      <c r="B166" s="336"/>
      <c r="C166" s="803" t="s">
        <v>248</v>
      </c>
      <c r="D166" s="804"/>
      <c r="E166" s="805"/>
      <c r="G166" s="831"/>
      <c r="H166" s="832"/>
      <c r="I166" s="832"/>
      <c r="J166" s="832"/>
      <c r="K166" s="832"/>
      <c r="L166" s="832"/>
      <c r="M166" s="832"/>
      <c r="N166" s="833"/>
    </row>
    <row r="167" spans="2:14" ht="15" customHeight="1">
      <c r="B167" s="337"/>
      <c r="C167" s="803" t="s">
        <v>262</v>
      </c>
      <c r="D167" s="804"/>
      <c r="E167" s="805"/>
      <c r="G167" s="831"/>
      <c r="H167" s="832"/>
      <c r="I167" s="832"/>
      <c r="J167" s="832"/>
      <c r="K167" s="832"/>
      <c r="L167" s="832"/>
      <c r="M167" s="832"/>
      <c r="N167" s="833"/>
    </row>
    <row r="168" spans="2:14" ht="15" customHeight="1">
      <c r="B168" s="338" t="s">
        <v>306</v>
      </c>
      <c r="C168" s="803" t="s">
        <v>250</v>
      </c>
      <c r="D168" s="804"/>
      <c r="E168" s="805"/>
      <c r="G168" s="831"/>
      <c r="H168" s="832"/>
      <c r="I168" s="832"/>
      <c r="J168" s="832"/>
      <c r="K168" s="832"/>
      <c r="L168" s="832"/>
      <c r="M168" s="832"/>
      <c r="N168" s="833"/>
    </row>
    <row r="169" spans="2:14" ht="15.75" customHeight="1">
      <c r="B169" s="339"/>
      <c r="C169" s="789" t="s">
        <v>377</v>
      </c>
      <c r="D169" s="789"/>
      <c r="E169" s="790"/>
      <c r="G169" s="831"/>
      <c r="H169" s="832"/>
      <c r="I169" s="832"/>
      <c r="J169" s="832"/>
      <c r="K169" s="832"/>
      <c r="L169" s="832"/>
      <c r="M169" s="832"/>
      <c r="N169" s="833"/>
    </row>
    <row r="170" spans="2:14" ht="16.5" thickBot="1">
      <c r="B170" s="340"/>
      <c r="C170" s="825" t="s">
        <v>251</v>
      </c>
      <c r="D170" s="826"/>
      <c r="E170" s="827"/>
      <c r="G170" s="834"/>
      <c r="H170" s="835"/>
      <c r="I170" s="835"/>
      <c r="J170" s="835"/>
      <c r="K170" s="835"/>
      <c r="L170" s="835"/>
      <c r="M170" s="835"/>
      <c r="N170" s="836"/>
    </row>
    <row r="171" spans="2:14" ht="14.25" customHeight="1">
      <c r="C171" s="341"/>
    </row>
  </sheetData>
  <sheetProtection algorithmName="SHA-512" hashValue="G1zI/UAC38sqYGUlBK4W0ZRL1lOfqfuN0QVtjjNqk1xEIYPF6EqoaJyP017eep7cDWHS6QbGnEdWI9OAuLM1Jg==" saltValue="XbdQ++3UBzgRleH8DY8z1w==" spinCount="100000" sheet="1" selectLockedCells="1"/>
  <protectedRanges>
    <protectedRange password="C534" sqref="D89:J89 J62:J88 D61:I88" name="Input_Personnel_3"/>
    <protectedRange sqref="L23" name="start date"/>
    <protectedRange sqref="N23 I24:I25" name="end date"/>
    <protectedRange sqref="H43:H44 H40 G38:H39 B41:B42" name="Mutual aid Grade_1"/>
    <protectedRange sqref="B51 G52 H55:H57 G50:H50 B53:B54" name="Mutual aid Grade_4"/>
  </protectedRanges>
  <mergeCells count="98">
    <mergeCell ref="J149:L149"/>
    <mergeCell ref="M156:N156"/>
    <mergeCell ref="C170:E170"/>
    <mergeCell ref="G165:N170"/>
    <mergeCell ref="E138:I138"/>
    <mergeCell ref="E141:I141"/>
    <mergeCell ref="E142:I142"/>
    <mergeCell ref="E143:I143"/>
    <mergeCell ref="B160:N160"/>
    <mergeCell ref="B159:N159"/>
    <mergeCell ref="D150:F150"/>
    <mergeCell ref="D152:F152"/>
    <mergeCell ref="M150:N150"/>
    <mergeCell ref="M151:N151"/>
    <mergeCell ref="M149:N149"/>
    <mergeCell ref="J146:N147"/>
    <mergeCell ref="C169:E169"/>
    <mergeCell ref="J157:L157"/>
    <mergeCell ref="J152:L152"/>
    <mergeCell ref="J153:L153"/>
    <mergeCell ref="J154:L154"/>
    <mergeCell ref="J155:L155"/>
    <mergeCell ref="J156:L156"/>
    <mergeCell ref="C166:E166"/>
    <mergeCell ref="C167:E167"/>
    <mergeCell ref="C168:E168"/>
    <mergeCell ref="D154:H157"/>
    <mergeCell ref="B162:N162"/>
    <mergeCell ref="B163:N163"/>
    <mergeCell ref="M157:N157"/>
    <mergeCell ref="M152:N152"/>
    <mergeCell ref="B161:N161"/>
    <mergeCell ref="B50:F50"/>
    <mergeCell ref="B51:E51"/>
    <mergeCell ref="M153:N153"/>
    <mergeCell ref="M154:N154"/>
    <mergeCell ref="M155:N155"/>
    <mergeCell ref="L144:M144"/>
    <mergeCell ref="B91:I92"/>
    <mergeCell ref="B132:I133"/>
    <mergeCell ref="K132:N133"/>
    <mergeCell ref="J151:L151"/>
    <mergeCell ref="M148:N148"/>
    <mergeCell ref="E139:I139"/>
    <mergeCell ref="E140:I140"/>
    <mergeCell ref="D148:F148"/>
    <mergeCell ref="J148:L148"/>
    <mergeCell ref="J150:L150"/>
    <mergeCell ref="H54:N54"/>
    <mergeCell ref="K116:N117"/>
    <mergeCell ref="L112:M112"/>
    <mergeCell ref="B106:I107"/>
    <mergeCell ref="C113:I113"/>
    <mergeCell ref="B116:I117"/>
    <mergeCell ref="B58:D59"/>
    <mergeCell ref="E58:I59"/>
    <mergeCell ref="L103:N103"/>
    <mergeCell ref="E137:I137"/>
    <mergeCell ref="E134:I134"/>
    <mergeCell ref="E136:I136"/>
    <mergeCell ref="L134:M134"/>
    <mergeCell ref="K58:N59"/>
    <mergeCell ref="H51:N51"/>
    <mergeCell ref="L128:M128"/>
    <mergeCell ref="D130:E130"/>
    <mergeCell ref="E135:I135"/>
    <mergeCell ref="I41:N41"/>
    <mergeCell ref="I44:N46"/>
    <mergeCell ref="L108:M108"/>
    <mergeCell ref="C104:I105"/>
    <mergeCell ref="K106:N107"/>
    <mergeCell ref="L89:M89"/>
    <mergeCell ref="E108:F108"/>
    <mergeCell ref="B41:D41"/>
    <mergeCell ref="K91:O92"/>
    <mergeCell ref="D129:E129"/>
    <mergeCell ref="B53:E53"/>
    <mergeCell ref="H53:N53"/>
    <mergeCell ref="E5:K12"/>
    <mergeCell ref="B7:D11"/>
    <mergeCell ref="L7:N11"/>
    <mergeCell ref="I19:N19"/>
    <mergeCell ref="H26:N26"/>
    <mergeCell ref="B21:E21"/>
    <mergeCell ref="I21:N21"/>
    <mergeCell ref="B17:O17"/>
    <mergeCell ref="E23:H25"/>
    <mergeCell ref="J32:N32"/>
    <mergeCell ref="D30:F30"/>
    <mergeCell ref="J28:N28"/>
    <mergeCell ref="J30:N30"/>
    <mergeCell ref="J34:N34"/>
    <mergeCell ref="D28:F28"/>
    <mergeCell ref="B38:F38"/>
    <mergeCell ref="B44:G46"/>
    <mergeCell ref="E41:G41"/>
    <mergeCell ref="D34:F34"/>
    <mergeCell ref="D32:F32"/>
  </mergeCells>
  <conditionalFormatting sqref="E58:I59">
    <cfRule type="expression" dxfId="1" priority="1">
      <formula>$B$21="UKFPU"</formula>
    </cfRule>
  </conditionalFormatting>
  <dataValidations count="14">
    <dataValidation type="list" allowBlank="1" showInputMessage="1" showErrorMessage="1" promptTitle="Mutual Aid Grade" prompt="Select appropriate Mutual Aid Grade" sqref="B42">
      <formula1>MAG</formula1>
    </dataValidation>
    <dataValidation type="list" allowBlank="1" showInputMessage="1" showErrorMessage="1" sqref="B53:B54">
      <formula1>deploy</formula1>
    </dataValidation>
    <dataValidation type="list" allowBlank="1" showInputMessage="1" showErrorMessage="1" sqref="B51">
      <formula1>YesNo</formula1>
    </dataValidation>
    <dataValidation type="list" allowBlank="1" showInputMessage="1" showErrorMessage="1" sqref="E89">
      <formula1>ranksandg</formula1>
    </dataValidation>
    <dataValidation type="list" allowBlank="1" showInputMessage="1" showErrorMessage="1" sqref="F103 F144">
      <formula1>allowt</formula1>
    </dataValidation>
    <dataValidation type="list" allowBlank="1" showInputMessage="1" showErrorMessage="1" sqref="F131 F128 F90">
      <formula1>vehiclet</formula1>
    </dataValidation>
    <dataValidation type="list" allowBlank="1" showInputMessage="1" showErrorMessage="1" sqref="D119:D127">
      <formula1>Vehicle</formula1>
    </dataValidation>
    <dataValidation type="list" allowBlank="1" showInputMessage="1" showErrorMessage="1" sqref="D94:D102">
      <formula1>Allow</formula1>
    </dataValidation>
    <dataValidation type="list" allowBlank="1" showInputMessage="1" showErrorMessage="1" sqref="F89">
      <formula1>RESOURCES</formula1>
    </dataValidation>
    <dataValidation type="list" allowBlank="1" showInputMessage="1" showErrorMessage="1" sqref="D135:D143">
      <formula1>Consume</formula1>
    </dataValidation>
    <dataValidation type="list" allowBlank="1" showInputMessage="1" showErrorMessage="1" sqref="D109:D111">
      <formula1>Equip</formula1>
    </dataValidation>
    <dataValidation type="list" allowBlank="1" showInputMessage="1" showErrorMessage="1" sqref="B41:D41 F61:F88">
      <formula1>MAG</formula1>
    </dataValidation>
    <dataValidation type="list" allowBlank="1" showInputMessage="1" showErrorMessage="1" sqref="B21:B22 B5:B6 I21:I22">
      <formula1>Force</formula1>
    </dataValidation>
    <dataValidation type="list" allowBlank="1" showInputMessage="1" showErrorMessage="1" sqref="D61:D88">
      <formula1>Rank</formula1>
    </dataValidation>
  </dataValidations>
  <pageMargins left="0.35433070866141736" right="0.23622047244094491" top="0.39370078740157483" bottom="0.39370078740157483" header="0.19685039370078741" footer="0.39370078740157483"/>
  <pageSetup paperSize="9" scale="56" fitToHeight="2" orientation="portrait" horizontalDpi="4294967295" verticalDpi="300" r:id="rId1"/>
  <headerFooter>
    <oddFooter xml:space="preserve">&amp;L&amp;8&amp;F&amp;R&amp;8&amp;P </oddFooter>
  </headerFooter>
  <rowBreaks count="1" manualBreakCount="1">
    <brk id="89" min="1" max="13" man="1"/>
  </rowBreaks>
  <ignoredErrors>
    <ignoredError sqref="M156" formula="1"/>
    <ignoredError sqref="L61:L73 D148 D150 D152 L75:L88" unlockedFormula="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2"/>
  <sheetViews>
    <sheetView workbookViewId="0">
      <selection activeCell="R23" sqref="R23"/>
    </sheetView>
  </sheetViews>
  <sheetFormatPr defaultRowHeight="15"/>
  <cols>
    <col min="1" max="1" width="25.21875" bestFit="1" customWidth="1"/>
    <col min="2" max="2" width="9" bestFit="1" customWidth="1"/>
    <col min="6" max="6" width="8.77734375" customWidth="1"/>
    <col min="7" max="7" width="8.6640625" customWidth="1"/>
    <col min="10" max="10" width="24.21875" hidden="1" customWidth="1"/>
    <col min="11" max="12" width="8.77734375" hidden="1" customWidth="1"/>
    <col min="13" max="13" width="13.5546875" hidden="1" customWidth="1"/>
    <col min="14" max="14" width="21" hidden="1" customWidth="1"/>
    <col min="15" max="15" width="13.5546875" hidden="1" customWidth="1"/>
    <col min="16" max="16" width="8.77734375" hidden="1" customWidth="1"/>
  </cols>
  <sheetData>
    <row r="2" spans="1:16" ht="14.45" hidden="1" customHeight="1">
      <c r="A2" t="s">
        <v>518</v>
      </c>
      <c r="B2">
        <v>41304</v>
      </c>
      <c r="C2">
        <v>52458</v>
      </c>
      <c r="D2">
        <v>62865</v>
      </c>
      <c r="E2">
        <v>68823</v>
      </c>
      <c r="F2" s="74">
        <f>N41</f>
        <v>89208</v>
      </c>
      <c r="G2" s="74">
        <f>N48</f>
        <v>102903</v>
      </c>
    </row>
    <row r="3" spans="1:16" ht="20.25" hidden="1" thickBot="1">
      <c r="A3" t="s">
        <v>464</v>
      </c>
      <c r="B3">
        <f t="shared" ref="B3:G3" si="0">B4*1.0475</f>
        <v>41070.380000000005</v>
      </c>
      <c r="C3">
        <f t="shared" si="0"/>
        <v>51954.952500000007</v>
      </c>
      <c r="D3">
        <f t="shared" si="0"/>
        <v>62799.720000000008</v>
      </c>
      <c r="E3">
        <f t="shared" si="0"/>
        <v>67450.62000000001</v>
      </c>
      <c r="F3">
        <f t="shared" si="0"/>
        <v>87247.322500000009</v>
      </c>
      <c r="G3">
        <f t="shared" si="0"/>
        <v>100852.2525</v>
      </c>
      <c r="J3" t="s">
        <v>465</v>
      </c>
      <c r="M3" s="87" t="s">
        <v>512</v>
      </c>
    </row>
    <row r="4" spans="1:16" ht="33" hidden="1">
      <c r="B4">
        <v>39208</v>
      </c>
      <c r="C4">
        <v>49599</v>
      </c>
      <c r="D4">
        <v>59952</v>
      </c>
      <c r="E4">
        <v>64392</v>
      </c>
      <c r="F4">
        <v>83291</v>
      </c>
      <c r="G4">
        <v>96279</v>
      </c>
      <c r="J4" t="s">
        <v>466</v>
      </c>
      <c r="M4" s="79" t="s">
        <v>507</v>
      </c>
      <c r="N4" s="80" t="s">
        <v>508</v>
      </c>
      <c r="O4" s="80" t="s">
        <v>509</v>
      </c>
      <c r="P4" s="81" t="s">
        <v>510</v>
      </c>
    </row>
    <row r="5" spans="1:16" ht="17.25" thickBot="1">
      <c r="A5" s="10"/>
      <c r="B5" s="10"/>
      <c r="C5" s="10"/>
      <c r="D5" s="10"/>
      <c r="E5" s="10"/>
      <c r="F5" s="10"/>
      <c r="G5" s="10"/>
      <c r="J5" t="s">
        <v>467</v>
      </c>
      <c r="M5" s="82">
        <v>1</v>
      </c>
      <c r="N5" s="78">
        <v>28551</v>
      </c>
      <c r="O5" s="78">
        <v>29907</v>
      </c>
      <c r="P5" s="83">
        <v>4.7500000000000001E-2</v>
      </c>
    </row>
    <row r="6" spans="1:16" ht="26.25" thickBot="1">
      <c r="A6" s="437" t="s">
        <v>535</v>
      </c>
      <c r="B6" s="438" t="s">
        <v>108</v>
      </c>
      <c r="C6" s="439" t="s">
        <v>109</v>
      </c>
      <c r="D6" s="439" t="s">
        <v>110</v>
      </c>
      <c r="E6" s="440" t="s">
        <v>453</v>
      </c>
      <c r="F6" s="439" t="s">
        <v>454</v>
      </c>
      <c r="G6" s="441" t="s">
        <v>455</v>
      </c>
      <c r="J6">
        <v>2023</v>
      </c>
      <c r="M6" s="82">
        <v>2</v>
      </c>
      <c r="N6" s="78">
        <v>29751</v>
      </c>
      <c r="O6" s="78">
        <v>31164</v>
      </c>
      <c r="P6" s="83">
        <v>4.7500000000000001E-2</v>
      </c>
    </row>
    <row r="7" spans="1:16" ht="17.25" thickBot="1">
      <c r="A7" s="442" t="s">
        <v>456</v>
      </c>
      <c r="B7" s="438" t="s">
        <v>457</v>
      </c>
      <c r="C7" s="439" t="s">
        <v>457</v>
      </c>
      <c r="D7" s="439" t="s">
        <v>457</v>
      </c>
      <c r="E7" s="439" t="s">
        <v>457</v>
      </c>
      <c r="F7" s="439" t="s">
        <v>457</v>
      </c>
      <c r="G7" s="443" t="s">
        <v>457</v>
      </c>
      <c r="J7" t="s">
        <v>108</v>
      </c>
      <c r="M7" s="82">
        <v>3</v>
      </c>
      <c r="N7" s="78">
        <v>30957</v>
      </c>
      <c r="O7" s="78">
        <v>32427</v>
      </c>
      <c r="P7" s="83">
        <v>4.7500000000000001E-2</v>
      </c>
    </row>
    <row r="8" spans="1:16" ht="16.5">
      <c r="A8" s="444" t="s">
        <v>458</v>
      </c>
      <c r="B8" s="445">
        <v>45248</v>
      </c>
      <c r="C8" s="445">
        <v>56117</v>
      </c>
      <c r="D8" s="445">
        <v>67128</v>
      </c>
      <c r="E8" s="445">
        <v>74604</v>
      </c>
      <c r="F8" s="445">
        <v>96701</v>
      </c>
      <c r="G8" s="445">
        <v>111546</v>
      </c>
      <c r="J8" t="s">
        <v>468</v>
      </c>
      <c r="M8" s="82">
        <v>4</v>
      </c>
      <c r="N8" s="78">
        <v>32163</v>
      </c>
      <c r="O8" s="78">
        <v>33690</v>
      </c>
      <c r="P8" s="83">
        <v>4.7500000000000001E-2</v>
      </c>
    </row>
    <row r="9" spans="1:16" ht="16.5">
      <c r="A9" s="446" t="s">
        <v>459</v>
      </c>
      <c r="B9" s="447">
        <v>1119.7996874999999</v>
      </c>
      <c r="C9" s="448">
        <v>1417.651875</v>
      </c>
      <c r="D9" s="448">
        <v>1713.4284375000002</v>
      </c>
      <c r="E9" s="448">
        <v>1840.0415625000001</v>
      </c>
      <c r="F9" s="448">
        <v>0</v>
      </c>
      <c r="G9" s="449">
        <v>0</v>
      </c>
      <c r="I9" s="72"/>
      <c r="J9" t="s">
        <v>469</v>
      </c>
      <c r="M9" s="82">
        <v>5</v>
      </c>
      <c r="N9" s="78">
        <v>34575</v>
      </c>
      <c r="O9" s="78">
        <v>36216</v>
      </c>
      <c r="P9" s="83">
        <v>4.7500000000000001E-2</v>
      </c>
    </row>
    <row r="10" spans="1:16" ht="16.5">
      <c r="A10" s="446" t="s">
        <v>460</v>
      </c>
      <c r="B10" s="447">
        <v>1266.944</v>
      </c>
      <c r="C10" s="448">
        <v>1571.2760000000001</v>
      </c>
      <c r="D10" s="448">
        <v>1879.5840000000001</v>
      </c>
      <c r="E10" s="448">
        <v>2088.9120000000003</v>
      </c>
      <c r="F10" s="448">
        <v>0</v>
      </c>
      <c r="G10" s="449">
        <v>0</v>
      </c>
      <c r="J10" t="s">
        <v>470</v>
      </c>
      <c r="M10" s="82">
        <v>6</v>
      </c>
      <c r="N10" s="78">
        <v>39432</v>
      </c>
      <c r="O10" s="88">
        <v>41304</v>
      </c>
      <c r="P10" s="83">
        <v>4.7500000000000001E-2</v>
      </c>
    </row>
    <row r="11" spans="1:16" ht="17.25" thickBot="1">
      <c r="A11" s="450" t="s">
        <v>461</v>
      </c>
      <c r="B11" s="451">
        <v>6395</v>
      </c>
      <c r="C11" s="452">
        <v>8116</v>
      </c>
      <c r="D11" s="451">
        <v>9858</v>
      </c>
      <c r="E11" s="452">
        <v>11030</v>
      </c>
      <c r="F11" s="451">
        <v>13755</v>
      </c>
      <c r="G11" s="453">
        <v>15982</v>
      </c>
      <c r="J11" t="s">
        <v>471</v>
      </c>
      <c r="M11" s="84">
        <v>7</v>
      </c>
      <c r="N11" s="85">
        <v>46044</v>
      </c>
      <c r="O11" s="85">
        <v>48231</v>
      </c>
      <c r="P11" s="86">
        <v>4.7500000000000001E-2</v>
      </c>
    </row>
    <row r="12" spans="1:16" ht="15.75" thickBot="1">
      <c r="A12" s="454" t="s">
        <v>430</v>
      </c>
      <c r="B12" s="455">
        <v>54029.743687500006</v>
      </c>
      <c r="C12" s="456">
        <v>67221.927874999994</v>
      </c>
      <c r="D12" s="455">
        <v>80579.012437500001</v>
      </c>
      <c r="E12" s="456">
        <v>89562.953562499999</v>
      </c>
      <c r="F12" s="455">
        <v>110456</v>
      </c>
      <c r="G12" s="457">
        <v>127528</v>
      </c>
      <c r="J12" t="s">
        <v>472</v>
      </c>
    </row>
    <row r="13" spans="1:16" ht="15.75" thickBot="1">
      <c r="A13" s="450" t="s">
        <v>431</v>
      </c>
      <c r="B13" s="458">
        <v>270.14871843750001</v>
      </c>
      <c r="C13" s="459">
        <v>336.10963937499997</v>
      </c>
      <c r="D13" s="460">
        <v>402.8950621875</v>
      </c>
      <c r="E13" s="459">
        <v>447.81476781250001</v>
      </c>
      <c r="F13" s="459">
        <v>552.28</v>
      </c>
      <c r="G13" s="461">
        <v>637.64</v>
      </c>
      <c r="J13" t="s">
        <v>473</v>
      </c>
      <c r="M13" t="s">
        <v>513</v>
      </c>
    </row>
    <row r="14" spans="1:16" ht="33.75" thickBot="1">
      <c r="A14" s="454" t="s">
        <v>462</v>
      </c>
      <c r="B14" s="462">
        <v>54299.892405937506</v>
      </c>
      <c r="C14" s="462">
        <v>67558.037514374999</v>
      </c>
      <c r="D14" s="462">
        <v>80981.907499687499</v>
      </c>
      <c r="E14" s="462">
        <v>90010.768330312494</v>
      </c>
      <c r="F14" s="462">
        <v>111008.28</v>
      </c>
      <c r="G14" s="457">
        <v>128165.64</v>
      </c>
      <c r="I14" s="73"/>
      <c r="J14" t="s">
        <v>474</v>
      </c>
      <c r="M14" s="79" t="s">
        <v>507</v>
      </c>
      <c r="N14" s="80" t="s">
        <v>508</v>
      </c>
      <c r="O14" s="80" t="s">
        <v>509</v>
      </c>
      <c r="P14" s="81" t="s">
        <v>510</v>
      </c>
    </row>
    <row r="15" spans="1:16" ht="17.25" thickBot="1">
      <c r="A15" s="463"/>
      <c r="B15" s="464"/>
      <c r="C15" s="464"/>
      <c r="D15" s="464"/>
      <c r="E15" s="464"/>
      <c r="F15" s="464"/>
      <c r="G15" s="465"/>
      <c r="J15" s="76" t="s">
        <v>475</v>
      </c>
      <c r="M15" s="82" t="s">
        <v>511</v>
      </c>
      <c r="N15" s="78">
        <v>49077</v>
      </c>
      <c r="O15" s="78">
        <v>51408</v>
      </c>
      <c r="P15" s="83">
        <v>4.7500000000000001E-2</v>
      </c>
    </row>
    <row r="16" spans="1:16" ht="16.5">
      <c r="A16" s="466" t="s">
        <v>433</v>
      </c>
      <c r="B16" s="467">
        <v>365</v>
      </c>
      <c r="C16" s="467">
        <v>365</v>
      </c>
      <c r="D16" s="467">
        <v>365</v>
      </c>
      <c r="E16" s="467">
        <v>365</v>
      </c>
      <c r="F16" s="467">
        <v>365</v>
      </c>
      <c r="G16" s="468">
        <v>365</v>
      </c>
      <c r="J16" t="s">
        <v>476</v>
      </c>
      <c r="M16" s="82">
        <v>3</v>
      </c>
      <c r="N16" s="78">
        <v>50079</v>
      </c>
      <c r="O16" s="88">
        <v>52458</v>
      </c>
      <c r="P16" s="83">
        <v>4.7500000000000001E-2</v>
      </c>
    </row>
    <row r="17" spans="1:16" ht="17.25" thickBot="1">
      <c r="A17" s="469" t="s">
        <v>434</v>
      </c>
      <c r="B17" s="470">
        <v>26</v>
      </c>
      <c r="C17" s="470">
        <v>26</v>
      </c>
      <c r="D17" s="470">
        <v>26</v>
      </c>
      <c r="E17" s="470">
        <v>26</v>
      </c>
      <c r="F17" s="470">
        <v>26</v>
      </c>
      <c r="G17" s="471">
        <v>26</v>
      </c>
      <c r="J17" t="s">
        <v>108</v>
      </c>
      <c r="M17" s="84">
        <v>4</v>
      </c>
      <c r="N17" s="85">
        <v>51498</v>
      </c>
      <c r="O17" s="85">
        <v>53943</v>
      </c>
      <c r="P17" s="86">
        <v>4.7500000000000001E-2</v>
      </c>
    </row>
    <row r="18" spans="1:16">
      <c r="A18" s="472" t="s">
        <v>463</v>
      </c>
      <c r="B18" s="473">
        <v>104</v>
      </c>
      <c r="C18" s="473">
        <v>104</v>
      </c>
      <c r="D18" s="473">
        <v>104</v>
      </c>
      <c r="E18" s="473">
        <v>104</v>
      </c>
      <c r="F18" s="473">
        <v>104</v>
      </c>
      <c r="G18" s="474">
        <v>104</v>
      </c>
      <c r="J18" t="s">
        <v>477</v>
      </c>
    </row>
    <row r="19" spans="1:16" ht="19.5">
      <c r="A19" s="469" t="s">
        <v>436</v>
      </c>
      <c r="B19" s="470">
        <v>8</v>
      </c>
      <c r="C19" s="470">
        <v>8</v>
      </c>
      <c r="D19" s="470">
        <v>8</v>
      </c>
      <c r="E19" s="470">
        <v>8</v>
      </c>
      <c r="F19" s="470">
        <v>8</v>
      </c>
      <c r="G19" s="471">
        <v>8</v>
      </c>
      <c r="J19" t="s">
        <v>478</v>
      </c>
      <c r="M19" s="87" t="s">
        <v>514</v>
      </c>
    </row>
    <row r="20" spans="1:16" ht="15.75" thickBot="1">
      <c r="A20" s="472" t="s">
        <v>437</v>
      </c>
      <c r="B20" s="473">
        <v>10</v>
      </c>
      <c r="C20" s="473">
        <v>10</v>
      </c>
      <c r="D20" s="473">
        <v>10</v>
      </c>
      <c r="E20" s="473">
        <v>10</v>
      </c>
      <c r="F20" s="473">
        <v>10</v>
      </c>
      <c r="G20" s="474">
        <v>10</v>
      </c>
      <c r="J20" t="s">
        <v>479</v>
      </c>
    </row>
    <row r="21" spans="1:16" ht="33.75" thickBot="1">
      <c r="A21" s="475" t="s">
        <v>438</v>
      </c>
      <c r="B21" s="476">
        <v>11</v>
      </c>
      <c r="C21" s="476">
        <v>11</v>
      </c>
      <c r="D21" s="476">
        <v>11</v>
      </c>
      <c r="E21" s="476">
        <v>11</v>
      </c>
      <c r="F21" s="476">
        <v>11</v>
      </c>
      <c r="G21" s="477">
        <v>11</v>
      </c>
      <c r="J21" t="s">
        <v>480</v>
      </c>
      <c r="M21" s="79" t="s">
        <v>507</v>
      </c>
      <c r="N21" s="80" t="s">
        <v>508</v>
      </c>
      <c r="O21" s="80" t="s">
        <v>509</v>
      </c>
      <c r="P21" s="81" t="s">
        <v>510</v>
      </c>
    </row>
    <row r="22" spans="1:16" ht="17.25" thickBot="1">
      <c r="A22" s="478" t="s">
        <v>271</v>
      </c>
      <c r="B22" s="476">
        <v>206</v>
      </c>
      <c r="C22" s="476">
        <v>206</v>
      </c>
      <c r="D22" s="476">
        <v>206</v>
      </c>
      <c r="E22" s="476">
        <v>206</v>
      </c>
      <c r="F22" s="476">
        <v>206</v>
      </c>
      <c r="G22" s="477">
        <v>206</v>
      </c>
      <c r="J22" t="s">
        <v>481</v>
      </c>
      <c r="M22" s="82">
        <v>0</v>
      </c>
      <c r="N22" s="78">
        <v>58422</v>
      </c>
      <c r="O22" s="78">
        <v>61197</v>
      </c>
      <c r="P22" s="83">
        <v>4.7500000000000001E-2</v>
      </c>
    </row>
    <row r="23" spans="1:16" ht="17.25" thickBot="1">
      <c r="A23" s="479"/>
      <c r="B23" s="480"/>
      <c r="C23" s="480"/>
      <c r="D23" s="480"/>
      <c r="E23" s="480"/>
      <c r="F23" s="480"/>
      <c r="G23" s="481"/>
      <c r="J23" t="s">
        <v>482</v>
      </c>
      <c r="M23" s="82">
        <v>1</v>
      </c>
      <c r="N23" s="78">
        <v>60015</v>
      </c>
      <c r="O23" s="88">
        <v>62865</v>
      </c>
      <c r="P23" s="83">
        <v>4.7500000000000001E-2</v>
      </c>
    </row>
    <row r="24" spans="1:16" ht="16.5">
      <c r="A24" s="466" t="s">
        <v>439</v>
      </c>
      <c r="B24" s="482">
        <v>263.58999999999997</v>
      </c>
      <c r="C24" s="482">
        <v>327.95</v>
      </c>
      <c r="D24" s="482">
        <v>393.12</v>
      </c>
      <c r="E24" s="482">
        <v>436.95</v>
      </c>
      <c r="F24" s="482">
        <v>538.88</v>
      </c>
      <c r="G24" s="483">
        <v>622.16</v>
      </c>
      <c r="J24" t="s">
        <v>483</v>
      </c>
      <c r="K24">
        <v>33324</v>
      </c>
      <c r="M24" s="82">
        <v>2</v>
      </c>
      <c r="N24" s="78">
        <v>61602</v>
      </c>
      <c r="O24" s="78">
        <v>64527</v>
      </c>
      <c r="P24" s="83">
        <v>4.7500000000000001E-2</v>
      </c>
    </row>
    <row r="25" spans="1:16" ht="17.25" thickBot="1">
      <c r="A25" s="475" t="s">
        <v>440</v>
      </c>
      <c r="B25" s="484">
        <v>32.948749999999997</v>
      </c>
      <c r="C25" s="484">
        <v>40.993749999999999</v>
      </c>
      <c r="D25" s="484">
        <v>49.14</v>
      </c>
      <c r="E25" s="484">
        <v>54.618749999999999</v>
      </c>
      <c r="F25" s="484">
        <v>67.36</v>
      </c>
      <c r="G25" s="485">
        <v>77.77</v>
      </c>
      <c r="J25" t="s">
        <v>484</v>
      </c>
      <c r="K25">
        <v>35133</v>
      </c>
      <c r="M25" s="84">
        <v>3</v>
      </c>
      <c r="N25" s="85">
        <v>63198</v>
      </c>
      <c r="O25" s="85">
        <v>66201</v>
      </c>
      <c r="P25" s="86">
        <v>4.7500000000000001E-2</v>
      </c>
    </row>
    <row r="26" spans="1:16" ht="15.75" thickBot="1">
      <c r="A26" s="486"/>
      <c r="B26" s="487"/>
      <c r="C26" s="487"/>
      <c r="D26" s="487"/>
      <c r="E26" s="487"/>
      <c r="F26" s="487"/>
      <c r="G26" s="488"/>
      <c r="J26" t="s">
        <v>485</v>
      </c>
      <c r="K26">
        <v>37158</v>
      </c>
    </row>
    <row r="27" spans="1:16">
      <c r="A27" s="489" t="s">
        <v>441</v>
      </c>
      <c r="B27" s="490">
        <v>65.897499999999994</v>
      </c>
      <c r="C27" s="490">
        <v>81.987499999999997</v>
      </c>
      <c r="D27" s="490">
        <v>61.424999999999997</v>
      </c>
      <c r="E27" s="490">
        <v>68.2734375</v>
      </c>
      <c r="F27" s="490">
        <v>84.2</v>
      </c>
      <c r="G27" s="490">
        <v>97.212499999999991</v>
      </c>
      <c r="J27" t="s">
        <v>486</v>
      </c>
      <c r="K27">
        <v>38265</v>
      </c>
    </row>
    <row r="28" spans="1:16" ht="19.5">
      <c r="A28" s="491" t="s">
        <v>442</v>
      </c>
      <c r="B28" s="492">
        <v>49.423124999999999</v>
      </c>
      <c r="C28" s="492">
        <v>61.490624999999994</v>
      </c>
      <c r="D28" s="492">
        <v>61.424999999999997</v>
      </c>
      <c r="E28" s="492">
        <v>68.2734375</v>
      </c>
      <c r="F28" s="492">
        <v>84.2</v>
      </c>
      <c r="G28" s="492">
        <v>97.212499999999991</v>
      </c>
      <c r="J28" s="76" t="s">
        <v>487</v>
      </c>
      <c r="K28">
        <v>39432</v>
      </c>
      <c r="M28" s="87" t="s">
        <v>515</v>
      </c>
    </row>
    <row r="29" spans="1:16" ht="15.75" thickBot="1">
      <c r="A29" s="491" t="s">
        <v>443</v>
      </c>
      <c r="B29" s="492">
        <v>43.821837500000001</v>
      </c>
      <c r="C29" s="492">
        <v>54.521687499999999</v>
      </c>
      <c r="D29" s="492">
        <v>61.424999999999997</v>
      </c>
      <c r="E29" s="492">
        <v>68.2734375</v>
      </c>
      <c r="F29" s="492">
        <v>84.2</v>
      </c>
      <c r="G29" s="492">
        <v>97.212499999999991</v>
      </c>
      <c r="J29" t="s">
        <v>488</v>
      </c>
    </row>
    <row r="30" spans="1:16" ht="33.75" thickBot="1">
      <c r="A30" s="493" t="s">
        <v>444</v>
      </c>
      <c r="B30" s="494">
        <v>49.423124999999999</v>
      </c>
      <c r="C30" s="494">
        <v>61.490624999999994</v>
      </c>
      <c r="D30" s="494">
        <v>73.710000000000008</v>
      </c>
      <c r="E30" s="494">
        <v>81.928124999999994</v>
      </c>
      <c r="F30" s="494">
        <v>101.03999999999999</v>
      </c>
      <c r="G30" s="494">
        <v>116.655</v>
      </c>
      <c r="J30" t="s">
        <v>476</v>
      </c>
      <c r="M30" s="79" t="s">
        <v>507</v>
      </c>
      <c r="N30" s="80" t="s">
        <v>508</v>
      </c>
      <c r="O30" s="80" t="s">
        <v>509</v>
      </c>
      <c r="P30" s="81" t="s">
        <v>510</v>
      </c>
    </row>
    <row r="31" spans="1:16" ht="16.5">
      <c r="J31" s="76" t="s">
        <v>489</v>
      </c>
      <c r="M31" s="82" t="s">
        <v>516</v>
      </c>
      <c r="N31" s="78">
        <v>64449</v>
      </c>
      <c r="O31" s="78">
        <v>67509</v>
      </c>
      <c r="P31" s="83">
        <v>4.7500000000000001E-2</v>
      </c>
    </row>
    <row r="32" spans="1:16" ht="16.5">
      <c r="A32">
        <v>9100</v>
      </c>
      <c r="J32" s="77" t="s">
        <v>490</v>
      </c>
      <c r="M32" s="82">
        <v>2</v>
      </c>
      <c r="N32" s="78">
        <v>65703</v>
      </c>
      <c r="O32" s="88">
        <v>68823</v>
      </c>
      <c r="P32" s="83">
        <v>4.7500000000000001E-2</v>
      </c>
    </row>
    <row r="33" spans="1:16" ht="16.5">
      <c r="J33" t="s">
        <v>491</v>
      </c>
      <c r="M33" s="82">
        <v>3</v>
      </c>
      <c r="N33" s="78">
        <v>67017</v>
      </c>
      <c r="O33" s="78">
        <v>70200</v>
      </c>
      <c r="P33" s="83">
        <v>4.7500000000000001E-2</v>
      </c>
    </row>
    <row r="34" spans="1:16" ht="33.75" thickBot="1">
      <c r="A34" s="3" t="s">
        <v>522</v>
      </c>
      <c r="B34" s="89">
        <f t="shared" ref="B34:G34" si="1">SUM(B8:B10)</f>
        <v>47634.743687500006</v>
      </c>
      <c r="C34" s="89">
        <f t="shared" si="1"/>
        <v>59105.927875000001</v>
      </c>
      <c r="D34" s="89">
        <f t="shared" si="1"/>
        <v>70721.012437500001</v>
      </c>
      <c r="E34" s="89">
        <f t="shared" si="1"/>
        <v>78532.953562499999</v>
      </c>
      <c r="F34" s="89">
        <f t="shared" si="1"/>
        <v>96701</v>
      </c>
      <c r="G34" s="89">
        <f t="shared" si="1"/>
        <v>111546</v>
      </c>
      <c r="J34" t="s">
        <v>492</v>
      </c>
      <c r="M34" s="84" t="s">
        <v>517</v>
      </c>
      <c r="N34" s="85">
        <v>68082</v>
      </c>
      <c r="O34" s="85">
        <v>71316</v>
      </c>
      <c r="P34" s="86">
        <v>4.7500000000000001E-2</v>
      </c>
    </row>
    <row r="35" spans="1:16" ht="15.75">
      <c r="A35" s="3"/>
      <c r="B35" s="3"/>
      <c r="C35" s="3"/>
      <c r="D35" s="3"/>
      <c r="E35" s="3"/>
      <c r="F35" s="3"/>
      <c r="G35" s="3"/>
      <c r="J35" t="s">
        <v>493</v>
      </c>
    </row>
    <row r="36" spans="1:16" ht="15.75">
      <c r="A36" s="3"/>
      <c r="B36" s="3"/>
      <c r="C36" s="3"/>
      <c r="D36" s="3"/>
      <c r="E36" s="3"/>
      <c r="F36" s="3"/>
      <c r="G36" s="3"/>
      <c r="J36" s="76" t="s">
        <v>494</v>
      </c>
    </row>
    <row r="37" spans="1:16" ht="20.25" thickBot="1">
      <c r="A37" s="3" t="s">
        <v>523</v>
      </c>
      <c r="B37" s="3">
        <v>9100</v>
      </c>
      <c r="C37" s="3">
        <v>9100</v>
      </c>
      <c r="D37" s="3">
        <v>9100</v>
      </c>
      <c r="E37" s="3">
        <v>9100</v>
      </c>
      <c r="F37" s="3">
        <v>9100</v>
      </c>
      <c r="G37" s="3">
        <v>9100</v>
      </c>
      <c r="J37" t="s">
        <v>495</v>
      </c>
      <c r="M37" s="87" t="s">
        <v>519</v>
      </c>
    </row>
    <row r="38" spans="1:16" ht="16.5">
      <c r="A38" s="3"/>
      <c r="B38" s="3"/>
      <c r="C38" s="3"/>
      <c r="D38" s="3"/>
      <c r="E38" s="3"/>
      <c r="F38" s="3"/>
      <c r="G38" s="3"/>
      <c r="J38" t="s">
        <v>496</v>
      </c>
      <c r="M38" s="79" t="s">
        <v>507</v>
      </c>
      <c r="N38" s="80" t="s">
        <v>509</v>
      </c>
    </row>
    <row r="39" spans="1:16" ht="16.5">
      <c r="A39" s="3" t="s">
        <v>524</v>
      </c>
      <c r="B39" s="3">
        <v>5000</v>
      </c>
      <c r="C39" s="3">
        <v>5000</v>
      </c>
      <c r="D39" s="3">
        <v>5000</v>
      </c>
      <c r="E39" s="3">
        <v>5000</v>
      </c>
      <c r="F39" s="3">
        <v>5000</v>
      </c>
      <c r="G39" s="3">
        <v>5000</v>
      </c>
      <c r="J39" s="76" t="s">
        <v>497</v>
      </c>
      <c r="M39" s="82">
        <v>1</v>
      </c>
      <c r="N39" s="78">
        <v>80784</v>
      </c>
    </row>
    <row r="40" spans="1:16" ht="16.5">
      <c r="A40" s="3"/>
      <c r="B40" s="3"/>
      <c r="C40" s="3"/>
      <c r="D40" s="3"/>
      <c r="E40" s="3"/>
      <c r="F40" s="3"/>
      <c r="G40" s="3"/>
      <c r="J40" t="s">
        <v>498</v>
      </c>
      <c r="M40" s="82">
        <v>2</v>
      </c>
      <c r="N40" s="78">
        <v>84885</v>
      </c>
    </row>
    <row r="41" spans="1:16" ht="16.5">
      <c r="A41" s="3"/>
      <c r="B41" s="3"/>
      <c r="C41" s="3"/>
      <c r="D41" s="3"/>
      <c r="E41" s="3"/>
      <c r="F41" s="3"/>
      <c r="G41" s="3"/>
      <c r="J41" t="s">
        <v>112</v>
      </c>
      <c r="M41" s="82">
        <v>3</v>
      </c>
      <c r="N41" s="88">
        <v>89208</v>
      </c>
    </row>
    <row r="42" spans="1:16" ht="17.25" thickBot="1">
      <c r="A42" s="3" t="s">
        <v>525</v>
      </c>
      <c r="B42" s="90">
        <f t="shared" ref="B42:G42" si="2">(B34-B37)*0.138</f>
        <v>5317.7946288750009</v>
      </c>
      <c r="C42" s="90">
        <f t="shared" si="2"/>
        <v>6900.8180467500006</v>
      </c>
      <c r="D42" s="90">
        <f t="shared" si="2"/>
        <v>8503.6997163750002</v>
      </c>
      <c r="E42" s="90">
        <f t="shared" si="2"/>
        <v>9581.7475916250005</v>
      </c>
      <c r="F42" s="90">
        <f t="shared" si="2"/>
        <v>12088.938000000002</v>
      </c>
      <c r="G42" s="90">
        <f t="shared" si="2"/>
        <v>14137.548000000001</v>
      </c>
      <c r="J42" t="s">
        <v>499</v>
      </c>
      <c r="M42" s="84">
        <v>4</v>
      </c>
      <c r="N42" s="85">
        <v>95025</v>
      </c>
    </row>
    <row r="43" spans="1:16" ht="15.75">
      <c r="A43" s="3"/>
      <c r="B43" s="3"/>
      <c r="C43" s="3"/>
      <c r="D43" s="3"/>
      <c r="E43" s="3"/>
      <c r="F43" s="3"/>
      <c r="G43" s="3"/>
      <c r="J43" t="s">
        <v>500</v>
      </c>
    </row>
    <row r="44" spans="1:16" ht="15.75">
      <c r="A44" s="91" t="s">
        <v>526</v>
      </c>
      <c r="B44" s="90">
        <f t="shared" ref="B44:G44" si="3">B42*3/12</f>
        <v>1329.4486572187502</v>
      </c>
      <c r="C44" s="90">
        <f t="shared" si="3"/>
        <v>1725.2045116875004</v>
      </c>
      <c r="D44" s="90">
        <f t="shared" si="3"/>
        <v>2125.9249290937501</v>
      </c>
      <c r="E44" s="90">
        <f t="shared" si="3"/>
        <v>2395.4368979062501</v>
      </c>
      <c r="F44" s="90">
        <f t="shared" si="3"/>
        <v>3022.2345000000005</v>
      </c>
      <c r="G44" s="90">
        <f t="shared" si="3"/>
        <v>3534.3870000000002</v>
      </c>
      <c r="J44">
        <v>1</v>
      </c>
    </row>
    <row r="45" spans="1:16" ht="20.25" thickBot="1">
      <c r="A45" s="3"/>
      <c r="B45" s="3"/>
      <c r="C45" s="3"/>
      <c r="D45" s="3"/>
      <c r="E45" s="3"/>
      <c r="F45" s="3"/>
      <c r="G45" s="3"/>
      <c r="J45" s="74">
        <v>77121</v>
      </c>
      <c r="M45" s="87" t="s">
        <v>520</v>
      </c>
    </row>
    <row r="46" spans="1:16" ht="16.5">
      <c r="A46" s="3" t="s">
        <v>527</v>
      </c>
      <c r="B46" s="89">
        <f t="shared" ref="B46:G46" si="4">(B34-5000)*0.15</f>
        <v>6395.211553125001</v>
      </c>
      <c r="C46" s="89">
        <f t="shared" si="4"/>
        <v>8115.8891812499996</v>
      </c>
      <c r="D46" s="89">
        <f t="shared" si="4"/>
        <v>9858.1518656249991</v>
      </c>
      <c r="E46" s="89">
        <f t="shared" si="4"/>
        <v>11029.943034374999</v>
      </c>
      <c r="F46" s="89">
        <f t="shared" si="4"/>
        <v>13755.15</v>
      </c>
      <c r="G46" s="89">
        <f t="shared" si="4"/>
        <v>15981.9</v>
      </c>
      <c r="J46" t="s">
        <v>501</v>
      </c>
      <c r="M46" s="79" t="s">
        <v>507</v>
      </c>
      <c r="N46" s="80" t="s">
        <v>509</v>
      </c>
    </row>
    <row r="47" spans="1:16" ht="16.5">
      <c r="A47" s="3"/>
      <c r="B47" s="3"/>
      <c r="C47" s="3"/>
      <c r="D47" s="3"/>
      <c r="E47" s="3"/>
      <c r="F47" s="3"/>
      <c r="G47" s="3"/>
      <c r="J47" t="s">
        <v>502</v>
      </c>
      <c r="M47" s="82">
        <v>1</v>
      </c>
      <c r="N47" s="78">
        <v>99612</v>
      </c>
    </row>
    <row r="48" spans="1:16" ht="16.5">
      <c r="A48" s="3"/>
      <c r="B48" s="3"/>
      <c r="C48" s="3"/>
      <c r="D48" s="3"/>
      <c r="E48" s="3"/>
      <c r="F48" s="3"/>
      <c r="G48" s="3"/>
      <c r="J48" t="s">
        <v>503</v>
      </c>
      <c r="M48" s="82">
        <v>2</v>
      </c>
      <c r="N48" s="88">
        <v>102903</v>
      </c>
    </row>
    <row r="49" spans="1:14" ht="16.5">
      <c r="A49" s="91" t="s">
        <v>528</v>
      </c>
      <c r="B49" s="90">
        <f t="shared" ref="B49:G49" si="5">B46*9/12</f>
        <v>4796.4086648437506</v>
      </c>
      <c r="C49" s="90">
        <f t="shared" si="5"/>
        <v>6086.9168859374995</v>
      </c>
      <c r="D49" s="90">
        <f t="shared" si="5"/>
        <v>7393.6138992187489</v>
      </c>
      <c r="E49" s="90">
        <f t="shared" si="5"/>
        <v>8272.4572757812493</v>
      </c>
      <c r="F49" s="90">
        <f t="shared" si="5"/>
        <v>10316.362499999999</v>
      </c>
      <c r="G49" s="90">
        <f t="shared" si="5"/>
        <v>11986.425000000001</v>
      </c>
      <c r="J49" t="s">
        <v>504</v>
      </c>
      <c r="M49" s="82">
        <v>3</v>
      </c>
      <c r="N49" s="78">
        <v>111117</v>
      </c>
    </row>
    <row r="50" spans="1:14" ht="17.25" thickBot="1">
      <c r="A50" s="3"/>
      <c r="B50" s="3"/>
      <c r="C50" s="3"/>
      <c r="D50" s="3"/>
      <c r="E50" s="3"/>
      <c r="F50" s="3"/>
      <c r="G50" s="3"/>
      <c r="J50" t="s">
        <v>505</v>
      </c>
      <c r="M50" s="84"/>
      <c r="N50" s="85"/>
    </row>
    <row r="51" spans="1:14" ht="15.75">
      <c r="A51" s="3"/>
      <c r="B51" s="3"/>
      <c r="C51" s="3"/>
      <c r="D51" s="3"/>
      <c r="E51" s="3"/>
      <c r="F51" s="3"/>
      <c r="G51" s="3"/>
      <c r="J51" t="s">
        <v>506</v>
      </c>
    </row>
    <row r="52" spans="1:14" ht="15.75">
      <c r="A52" s="92" t="s">
        <v>529</v>
      </c>
      <c r="B52" s="93">
        <f t="shared" ref="B52:G52" si="6">B49+B44</f>
        <v>6125.8573220625003</v>
      </c>
      <c r="C52" s="93">
        <f t="shared" si="6"/>
        <v>7812.1213976250001</v>
      </c>
      <c r="D52" s="93">
        <f t="shared" si="6"/>
        <v>9519.5388283124994</v>
      </c>
      <c r="E52" s="93">
        <f t="shared" si="6"/>
        <v>10667.894173687499</v>
      </c>
      <c r="F52" s="93">
        <f t="shared" si="6"/>
        <v>13338.597</v>
      </c>
      <c r="G52" s="93">
        <f t="shared" si="6"/>
        <v>15520.812000000002</v>
      </c>
      <c r="J52" s="75">
        <v>103242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2:O25"/>
  <sheetViews>
    <sheetView zoomScaleNormal="100" workbookViewId="0">
      <pane xSplit="4" ySplit="1" topLeftCell="E2" activePane="bottomRight" state="frozen"/>
      <selection activeCell="H34" sqref="H34:I34"/>
      <selection pane="topRight" activeCell="H34" sqref="H34:I34"/>
      <selection pane="bottomLeft" activeCell="H34" sqref="H34:I34"/>
      <selection pane="bottomRight" activeCell="H34" sqref="H34:I34"/>
    </sheetView>
  </sheetViews>
  <sheetFormatPr defaultRowHeight="15"/>
  <cols>
    <col min="1" max="1" width="28.77734375" style="355" customWidth="1"/>
    <col min="2" max="3" width="15.44140625" style="355" customWidth="1"/>
    <col min="4" max="5" width="15.44140625" style="356" customWidth="1"/>
    <col min="6" max="6" width="15.44140625" style="357" customWidth="1"/>
    <col min="7" max="9" width="15.44140625" style="356" customWidth="1"/>
    <col min="10" max="10" width="8.88671875" style="358"/>
    <col min="11" max="14" width="8.88671875" style="356"/>
    <col min="15" max="15" width="8.88671875" style="357"/>
    <col min="16" max="16384" width="8.88671875" style="356"/>
  </cols>
  <sheetData>
    <row r="2" spans="1:9">
      <c r="A2" s="346" t="s">
        <v>533</v>
      </c>
      <c r="B2" s="347" t="s">
        <v>418</v>
      </c>
      <c r="C2" s="347" t="s">
        <v>419</v>
      </c>
      <c r="D2" s="347" t="s">
        <v>420</v>
      </c>
      <c r="E2" s="347" t="s">
        <v>421</v>
      </c>
      <c r="F2" s="347" t="s">
        <v>422</v>
      </c>
      <c r="G2" s="347" t="s">
        <v>423</v>
      </c>
      <c r="H2" s="347" t="s">
        <v>424</v>
      </c>
      <c r="I2" s="347" t="s">
        <v>425</v>
      </c>
    </row>
    <row r="3" spans="1:9">
      <c r="A3" s="348" t="s">
        <v>426</v>
      </c>
      <c r="B3" s="349">
        <v>25000</v>
      </c>
      <c r="C3" s="349">
        <v>35000</v>
      </c>
      <c r="D3" s="349">
        <v>45000</v>
      </c>
      <c r="E3" s="349">
        <v>55000</v>
      </c>
      <c r="F3" s="349">
        <v>65000</v>
      </c>
      <c r="G3" s="349">
        <v>75000</v>
      </c>
      <c r="H3" s="349">
        <v>85000</v>
      </c>
      <c r="I3" s="349">
        <v>95000</v>
      </c>
    </row>
    <row r="4" spans="1:9">
      <c r="A4" s="348" t="s">
        <v>427</v>
      </c>
      <c r="B4" s="349">
        <v>0</v>
      </c>
      <c r="C4" s="349">
        <v>0</v>
      </c>
      <c r="D4" s="349">
        <v>0</v>
      </c>
      <c r="E4" s="349">
        <v>0</v>
      </c>
      <c r="F4" s="349">
        <v>0</v>
      </c>
      <c r="G4" s="349">
        <v>0</v>
      </c>
      <c r="H4" s="349">
        <v>0</v>
      </c>
      <c r="I4" s="349">
        <v>0</v>
      </c>
    </row>
    <row r="5" spans="1:9">
      <c r="A5" s="348" t="s">
        <v>428</v>
      </c>
      <c r="B5" s="349">
        <f>B3*0.175</f>
        <v>4375</v>
      </c>
      <c r="C5" s="349">
        <f t="shared" ref="C5:I5" si="0">C3*0.175</f>
        <v>6125</v>
      </c>
      <c r="D5" s="349">
        <f t="shared" si="0"/>
        <v>7874.9999999999991</v>
      </c>
      <c r="E5" s="349">
        <f t="shared" si="0"/>
        <v>9625</v>
      </c>
      <c r="F5" s="349">
        <f t="shared" si="0"/>
        <v>11375</v>
      </c>
      <c r="G5" s="349">
        <f t="shared" si="0"/>
        <v>13125</v>
      </c>
      <c r="H5" s="349">
        <f t="shared" si="0"/>
        <v>14874.999999999998</v>
      </c>
      <c r="I5" s="349">
        <f t="shared" si="0"/>
        <v>16625</v>
      </c>
    </row>
    <row r="6" spans="1:9">
      <c r="A6" s="348" t="s">
        <v>429</v>
      </c>
      <c r="B6" s="349">
        <f>((B3-5000)*0.15)</f>
        <v>3000</v>
      </c>
      <c r="C6" s="349">
        <f t="shared" ref="C6:I6" si="1">((C3-5000)*0.15)</f>
        <v>4500</v>
      </c>
      <c r="D6" s="349">
        <f t="shared" si="1"/>
        <v>6000</v>
      </c>
      <c r="E6" s="349">
        <f t="shared" si="1"/>
        <v>7500</v>
      </c>
      <c r="F6" s="349">
        <f t="shared" si="1"/>
        <v>9000</v>
      </c>
      <c r="G6" s="349">
        <f t="shared" si="1"/>
        <v>10500</v>
      </c>
      <c r="H6" s="349">
        <f t="shared" si="1"/>
        <v>12000</v>
      </c>
      <c r="I6" s="349">
        <f t="shared" si="1"/>
        <v>13500</v>
      </c>
    </row>
    <row r="7" spans="1:9">
      <c r="A7" s="346" t="s">
        <v>430</v>
      </c>
      <c r="B7" s="350">
        <f>SUM(B3:B6)</f>
        <v>32375</v>
      </c>
      <c r="C7" s="350">
        <f t="shared" ref="C7:I7" si="2">SUM(C3:C6)</f>
        <v>45625</v>
      </c>
      <c r="D7" s="350">
        <f t="shared" si="2"/>
        <v>58875</v>
      </c>
      <c r="E7" s="350">
        <f t="shared" si="2"/>
        <v>72125</v>
      </c>
      <c r="F7" s="350">
        <f t="shared" si="2"/>
        <v>85375</v>
      </c>
      <c r="G7" s="350">
        <f t="shared" si="2"/>
        <v>98625</v>
      </c>
      <c r="H7" s="350">
        <f t="shared" si="2"/>
        <v>111875</v>
      </c>
      <c r="I7" s="350">
        <f t="shared" si="2"/>
        <v>125125</v>
      </c>
    </row>
    <row r="8" spans="1:9">
      <c r="A8" s="348" t="s">
        <v>431</v>
      </c>
      <c r="B8" s="349">
        <f>B3*0.005</f>
        <v>125</v>
      </c>
      <c r="C8" s="349">
        <f t="shared" ref="C8:I8" si="3">C3*0.005</f>
        <v>175</v>
      </c>
      <c r="D8" s="349">
        <f t="shared" si="3"/>
        <v>225</v>
      </c>
      <c r="E8" s="349">
        <f t="shared" si="3"/>
        <v>275</v>
      </c>
      <c r="F8" s="349">
        <f t="shared" si="3"/>
        <v>325</v>
      </c>
      <c r="G8" s="349">
        <f t="shared" si="3"/>
        <v>375</v>
      </c>
      <c r="H8" s="349">
        <f t="shared" si="3"/>
        <v>425</v>
      </c>
      <c r="I8" s="349">
        <f t="shared" si="3"/>
        <v>475</v>
      </c>
    </row>
    <row r="9" spans="1:9">
      <c r="A9" s="346" t="s">
        <v>432</v>
      </c>
      <c r="B9" s="350">
        <f>B7+B8</f>
        <v>32500</v>
      </c>
      <c r="C9" s="350">
        <f t="shared" ref="C9:I9" si="4">C7+C8</f>
        <v>45800</v>
      </c>
      <c r="D9" s="350">
        <f t="shared" si="4"/>
        <v>59100</v>
      </c>
      <c r="E9" s="350">
        <f t="shared" si="4"/>
        <v>72400</v>
      </c>
      <c r="F9" s="350">
        <f t="shared" si="4"/>
        <v>85700</v>
      </c>
      <c r="G9" s="350">
        <f t="shared" si="4"/>
        <v>99000</v>
      </c>
      <c r="H9" s="350">
        <f t="shared" si="4"/>
        <v>112300</v>
      </c>
      <c r="I9" s="350">
        <f t="shared" si="4"/>
        <v>125600</v>
      </c>
    </row>
    <row r="10" spans="1:9">
      <c r="A10" s="348"/>
      <c r="B10" s="351"/>
      <c r="C10" s="351"/>
      <c r="D10" s="351"/>
      <c r="E10" s="351"/>
      <c r="F10" s="351"/>
      <c r="G10" s="351"/>
      <c r="H10" s="351"/>
      <c r="I10" s="351"/>
    </row>
    <row r="11" spans="1:9">
      <c r="A11" s="348" t="s">
        <v>433</v>
      </c>
      <c r="B11" s="351">
        <v>365</v>
      </c>
      <c r="C11" s="351">
        <v>365</v>
      </c>
      <c r="D11" s="351">
        <v>365</v>
      </c>
      <c r="E11" s="351">
        <v>365</v>
      </c>
      <c r="F11" s="351">
        <v>365</v>
      </c>
      <c r="G11" s="351">
        <v>365</v>
      </c>
      <c r="H11" s="351">
        <v>365</v>
      </c>
      <c r="I11" s="351">
        <v>365</v>
      </c>
    </row>
    <row r="12" spans="1:9">
      <c r="A12" s="348" t="s">
        <v>434</v>
      </c>
      <c r="B12" s="351">
        <v>28</v>
      </c>
      <c r="C12" s="351">
        <v>28</v>
      </c>
      <c r="D12" s="351">
        <v>28</v>
      </c>
      <c r="E12" s="351">
        <v>28</v>
      </c>
      <c r="F12" s="351">
        <v>30</v>
      </c>
      <c r="G12" s="351">
        <v>30</v>
      </c>
      <c r="H12" s="351">
        <v>30</v>
      </c>
      <c r="I12" s="351">
        <v>30</v>
      </c>
    </row>
    <row r="13" spans="1:9">
      <c r="A13" s="348" t="s">
        <v>435</v>
      </c>
      <c r="B13" s="351">
        <v>104</v>
      </c>
      <c r="C13" s="351">
        <v>104</v>
      </c>
      <c r="D13" s="351">
        <v>104</v>
      </c>
      <c r="E13" s="351">
        <v>104</v>
      </c>
      <c r="F13" s="351">
        <v>104</v>
      </c>
      <c r="G13" s="351">
        <v>104</v>
      </c>
      <c r="H13" s="351">
        <v>104</v>
      </c>
      <c r="I13" s="351">
        <v>104</v>
      </c>
    </row>
    <row r="14" spans="1:9">
      <c r="A14" s="348" t="s">
        <v>436</v>
      </c>
      <c r="B14" s="351">
        <v>8</v>
      </c>
      <c r="C14" s="351">
        <v>8</v>
      </c>
      <c r="D14" s="351">
        <v>8</v>
      </c>
      <c r="E14" s="351">
        <v>8</v>
      </c>
      <c r="F14" s="351">
        <v>8</v>
      </c>
      <c r="G14" s="351">
        <v>8</v>
      </c>
      <c r="H14" s="351">
        <v>8</v>
      </c>
      <c r="I14" s="351">
        <v>8</v>
      </c>
    </row>
    <row r="15" spans="1:9">
      <c r="A15" s="348" t="s">
        <v>437</v>
      </c>
      <c r="B15" s="351">
        <v>7</v>
      </c>
      <c r="C15" s="351">
        <v>7</v>
      </c>
      <c r="D15" s="351">
        <v>7</v>
      </c>
      <c r="E15" s="351">
        <v>7</v>
      </c>
      <c r="F15" s="351">
        <v>7</v>
      </c>
      <c r="G15" s="351">
        <v>7</v>
      </c>
      <c r="H15" s="351">
        <v>7</v>
      </c>
      <c r="I15" s="351">
        <v>7</v>
      </c>
    </row>
    <row r="16" spans="1:9">
      <c r="A16" s="348" t="s">
        <v>438</v>
      </c>
      <c r="B16" s="351">
        <v>8</v>
      </c>
      <c r="C16" s="351">
        <v>8</v>
      </c>
      <c r="D16" s="351">
        <v>8</v>
      </c>
      <c r="E16" s="351">
        <v>8</v>
      </c>
      <c r="F16" s="351">
        <v>8</v>
      </c>
      <c r="G16" s="351">
        <v>8</v>
      </c>
      <c r="H16" s="351">
        <v>8</v>
      </c>
      <c r="I16" s="351">
        <v>8</v>
      </c>
    </row>
    <row r="17" spans="1:9">
      <c r="A17" s="346" t="s">
        <v>271</v>
      </c>
      <c r="B17" s="347">
        <f>B11-SUM(B12:B16)</f>
        <v>210</v>
      </c>
      <c r="C17" s="347">
        <f t="shared" ref="C17:I17" si="5">C11-SUM(C12:C16)</f>
        <v>210</v>
      </c>
      <c r="D17" s="347">
        <f t="shared" si="5"/>
        <v>210</v>
      </c>
      <c r="E17" s="347">
        <f t="shared" si="5"/>
        <v>210</v>
      </c>
      <c r="F17" s="347">
        <f t="shared" si="5"/>
        <v>208</v>
      </c>
      <c r="G17" s="347">
        <f t="shared" si="5"/>
        <v>208</v>
      </c>
      <c r="H17" s="347">
        <f t="shared" si="5"/>
        <v>208</v>
      </c>
      <c r="I17" s="347">
        <f t="shared" si="5"/>
        <v>208</v>
      </c>
    </row>
    <row r="18" spans="1:9">
      <c r="A18" s="348"/>
      <c r="B18" s="351"/>
      <c r="C18" s="351"/>
      <c r="D18" s="351"/>
      <c r="E18" s="351"/>
      <c r="F18" s="351"/>
      <c r="G18" s="351"/>
      <c r="H18" s="351"/>
      <c r="I18" s="351"/>
    </row>
    <row r="19" spans="1:9">
      <c r="A19" s="348" t="s">
        <v>439</v>
      </c>
      <c r="B19" s="352">
        <f>B9/B17</f>
        <v>154.76190476190476</v>
      </c>
      <c r="C19" s="352">
        <f>C9/C17</f>
        <v>218.0952380952381</v>
      </c>
      <c r="D19" s="352">
        <f t="shared" ref="D19:I19" si="6">D9/D17</f>
        <v>281.42857142857144</v>
      </c>
      <c r="E19" s="352">
        <f t="shared" si="6"/>
        <v>344.76190476190476</v>
      </c>
      <c r="F19" s="352">
        <f t="shared" si="6"/>
        <v>412.01923076923077</v>
      </c>
      <c r="G19" s="352">
        <f t="shared" si="6"/>
        <v>475.96153846153845</v>
      </c>
      <c r="H19" s="352">
        <f t="shared" si="6"/>
        <v>539.90384615384619</v>
      </c>
      <c r="I19" s="352">
        <f t="shared" si="6"/>
        <v>603.84615384615381</v>
      </c>
    </row>
    <row r="20" spans="1:9">
      <c r="A20" s="348" t="s">
        <v>440</v>
      </c>
      <c r="B20" s="352">
        <f>B9/(B17*7.2)</f>
        <v>21.494708994708994</v>
      </c>
      <c r="C20" s="352">
        <f t="shared" ref="C20:I20" si="7">C9/(C17*7.2)</f>
        <v>30.291005291005291</v>
      </c>
      <c r="D20" s="352">
        <f t="shared" si="7"/>
        <v>39.087301587301589</v>
      </c>
      <c r="E20" s="352">
        <f t="shared" si="7"/>
        <v>47.883597883597886</v>
      </c>
      <c r="F20" s="352">
        <f t="shared" si="7"/>
        <v>57.224893162393158</v>
      </c>
      <c r="G20" s="352">
        <f t="shared" si="7"/>
        <v>66.105769230769226</v>
      </c>
      <c r="H20" s="352">
        <f t="shared" si="7"/>
        <v>74.986645299145295</v>
      </c>
      <c r="I20" s="352">
        <f t="shared" si="7"/>
        <v>83.867521367521363</v>
      </c>
    </row>
    <row r="21" spans="1:9">
      <c r="A21" s="348"/>
      <c r="B21" s="351"/>
      <c r="C21" s="351"/>
      <c r="D21" s="351"/>
      <c r="E21" s="351"/>
      <c r="F21" s="351"/>
      <c r="G21" s="351"/>
      <c r="H21" s="351"/>
      <c r="I21" s="351"/>
    </row>
    <row r="22" spans="1:9">
      <c r="A22" s="353" t="s">
        <v>441</v>
      </c>
      <c r="B22" s="354">
        <f>B20*2</f>
        <v>42.989417989417987</v>
      </c>
      <c r="C22" s="354">
        <f t="shared" ref="C22:I22" si="8">C20*2</f>
        <v>60.582010582010582</v>
      </c>
      <c r="D22" s="354">
        <f t="shared" si="8"/>
        <v>78.174603174603178</v>
      </c>
      <c r="E22" s="354">
        <f t="shared" si="8"/>
        <v>95.767195767195773</v>
      </c>
      <c r="F22" s="354">
        <f t="shared" si="8"/>
        <v>114.44978632478632</v>
      </c>
      <c r="G22" s="354">
        <f t="shared" si="8"/>
        <v>132.21153846153845</v>
      </c>
      <c r="H22" s="354">
        <f t="shared" si="8"/>
        <v>149.97329059829059</v>
      </c>
      <c r="I22" s="354">
        <f t="shared" si="8"/>
        <v>167.73504273504273</v>
      </c>
    </row>
    <row r="23" spans="1:9">
      <c r="A23" s="353" t="s">
        <v>442</v>
      </c>
      <c r="B23" s="354">
        <f>B20*1.5</f>
        <v>32.242063492063494</v>
      </c>
      <c r="C23" s="354">
        <f t="shared" ref="C23:I23" si="9">C20*1.5</f>
        <v>45.436507936507937</v>
      </c>
      <c r="D23" s="354">
        <f t="shared" si="9"/>
        <v>58.63095238095238</v>
      </c>
      <c r="E23" s="354">
        <f t="shared" si="9"/>
        <v>71.825396825396837</v>
      </c>
      <c r="F23" s="354">
        <f t="shared" si="9"/>
        <v>85.837339743589737</v>
      </c>
      <c r="G23" s="354">
        <f t="shared" si="9"/>
        <v>99.15865384615384</v>
      </c>
      <c r="H23" s="354">
        <f t="shared" si="9"/>
        <v>112.47996794871794</v>
      </c>
      <c r="I23" s="354">
        <f t="shared" si="9"/>
        <v>125.80128205128204</v>
      </c>
    </row>
    <row r="24" spans="1:9">
      <c r="A24" s="353" t="s">
        <v>443</v>
      </c>
      <c r="B24" s="354">
        <f>B20*1.5</f>
        <v>32.242063492063494</v>
      </c>
      <c r="C24" s="354">
        <f t="shared" ref="C24:I24" si="10">C20*1.5</f>
        <v>45.436507936507937</v>
      </c>
      <c r="D24" s="354">
        <f t="shared" si="10"/>
        <v>58.63095238095238</v>
      </c>
      <c r="E24" s="354">
        <f t="shared" si="10"/>
        <v>71.825396825396837</v>
      </c>
      <c r="F24" s="354">
        <f t="shared" si="10"/>
        <v>85.837339743589737</v>
      </c>
      <c r="G24" s="354">
        <f t="shared" si="10"/>
        <v>99.15865384615384</v>
      </c>
      <c r="H24" s="354">
        <f t="shared" si="10"/>
        <v>112.47996794871794</v>
      </c>
      <c r="I24" s="354">
        <f t="shared" si="10"/>
        <v>125.80128205128204</v>
      </c>
    </row>
    <row r="25" spans="1:9">
      <c r="A25" s="353" t="s">
        <v>444</v>
      </c>
      <c r="B25" s="354">
        <f>B20*1.5</f>
        <v>32.242063492063494</v>
      </c>
      <c r="C25" s="354">
        <f t="shared" ref="C25:I25" si="11">C20*1.5</f>
        <v>45.436507936507937</v>
      </c>
      <c r="D25" s="354">
        <f t="shared" si="11"/>
        <v>58.63095238095238</v>
      </c>
      <c r="E25" s="354">
        <f t="shared" si="11"/>
        <v>71.825396825396837</v>
      </c>
      <c r="F25" s="354">
        <f t="shared" si="11"/>
        <v>85.837339743589737</v>
      </c>
      <c r="G25" s="354">
        <f t="shared" si="11"/>
        <v>99.15865384615384</v>
      </c>
      <c r="H25" s="354">
        <f t="shared" si="11"/>
        <v>112.47996794871794</v>
      </c>
      <c r="I25" s="354">
        <f t="shared" si="11"/>
        <v>125.80128205128204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T171"/>
  <sheetViews>
    <sheetView showGridLines="0" topLeftCell="A40" zoomScaleNormal="100" zoomScaleSheetLayoutView="75" zoomScalePageLayoutView="75" workbookViewId="0">
      <selection activeCell="B71" sqref="B71"/>
    </sheetView>
  </sheetViews>
  <sheetFormatPr defaultColWidth="8.88671875" defaultRowHeight="15.75"/>
  <cols>
    <col min="1" max="1" width="4" style="98" customWidth="1"/>
    <col min="2" max="3" width="9.6640625" style="102" customWidth="1"/>
    <col min="4" max="4" width="17.33203125" style="102" customWidth="1"/>
    <col min="5" max="5" width="23.33203125" style="102" customWidth="1"/>
    <col min="6" max="6" width="17.44140625" style="102" bestFit="1" customWidth="1"/>
    <col min="7" max="9" width="8" style="102" customWidth="1"/>
    <col min="10" max="10" width="8.21875" style="102" customWidth="1"/>
    <col min="11" max="11" width="11.44140625" style="102" customWidth="1"/>
    <col min="12" max="12" width="12" style="102" customWidth="1"/>
    <col min="13" max="13" width="9.6640625" style="102" customWidth="1"/>
    <col min="14" max="14" width="19.44140625" style="102" customWidth="1"/>
    <col min="15" max="15" width="10.6640625" style="97" customWidth="1"/>
    <col min="16" max="19" width="8.88671875" style="97"/>
    <col min="20" max="16384" width="8.88671875" style="98"/>
  </cols>
  <sheetData>
    <row r="1" spans="2:17" ht="16.5" thickBot="1"/>
    <row r="2" spans="2:17">
      <c r="B2" s="535"/>
      <c r="C2" s="334"/>
      <c r="D2" s="334"/>
      <c r="E2" s="334"/>
      <c r="F2" s="334"/>
      <c r="G2" s="334"/>
      <c r="H2" s="334"/>
      <c r="I2" s="334"/>
      <c r="J2" s="334"/>
      <c r="K2" s="334"/>
      <c r="L2" s="334"/>
      <c r="M2" s="334"/>
      <c r="N2" s="334"/>
      <c r="O2" s="519"/>
    </row>
    <row r="3" spans="2:17">
      <c r="B3" s="330"/>
      <c r="N3" s="516"/>
      <c r="O3" s="520"/>
    </row>
    <row r="4" spans="2:17">
      <c r="B4" s="330"/>
      <c r="N4" s="516"/>
      <c r="O4" s="520"/>
    </row>
    <row r="5" spans="2:17" ht="15.75" customHeight="1">
      <c r="B5" s="100"/>
      <c r="C5" s="101"/>
      <c r="D5" s="101"/>
      <c r="E5" s="676" t="s">
        <v>532</v>
      </c>
      <c r="F5" s="677"/>
      <c r="G5" s="677"/>
      <c r="H5" s="677"/>
      <c r="I5" s="677"/>
      <c r="J5" s="677"/>
      <c r="K5" s="677"/>
      <c r="L5" s="101"/>
      <c r="M5" s="101"/>
      <c r="N5" s="517"/>
      <c r="O5" s="520"/>
    </row>
    <row r="6" spans="2:17" ht="15.75" customHeight="1">
      <c r="B6" s="100"/>
      <c r="C6" s="101"/>
      <c r="D6" s="101"/>
      <c r="E6" s="677"/>
      <c r="F6" s="677"/>
      <c r="G6" s="677"/>
      <c r="H6" s="677"/>
      <c r="I6" s="677"/>
      <c r="J6" s="677"/>
      <c r="K6" s="677"/>
      <c r="L6" s="101"/>
      <c r="M6" s="101"/>
      <c r="N6" s="517"/>
      <c r="O6" s="520"/>
    </row>
    <row r="7" spans="2:17" ht="18.75" customHeight="1">
      <c r="B7" s="679"/>
      <c r="C7" s="680"/>
      <c r="D7" s="680"/>
      <c r="E7" s="677"/>
      <c r="F7" s="677"/>
      <c r="G7" s="677"/>
      <c r="H7" s="677"/>
      <c r="I7" s="677"/>
      <c r="J7" s="677"/>
      <c r="K7" s="677"/>
      <c r="L7" s="681"/>
      <c r="M7" s="681"/>
      <c r="N7" s="681"/>
      <c r="O7" s="520"/>
    </row>
    <row r="8" spans="2:17" ht="18" customHeight="1">
      <c r="B8" s="679"/>
      <c r="C8" s="680"/>
      <c r="D8" s="680"/>
      <c r="E8" s="677"/>
      <c r="F8" s="677"/>
      <c r="G8" s="677"/>
      <c r="H8" s="677"/>
      <c r="I8" s="677"/>
      <c r="J8" s="677"/>
      <c r="K8" s="677"/>
      <c r="L8" s="681"/>
      <c r="M8" s="681"/>
      <c r="N8" s="681"/>
      <c r="O8" s="520"/>
    </row>
    <row r="9" spans="2:17" ht="18" customHeight="1">
      <c r="B9" s="679"/>
      <c r="C9" s="680"/>
      <c r="D9" s="680"/>
      <c r="E9" s="677"/>
      <c r="F9" s="677"/>
      <c r="G9" s="677"/>
      <c r="H9" s="677"/>
      <c r="I9" s="677"/>
      <c r="J9" s="677"/>
      <c r="K9" s="677"/>
      <c r="L9" s="681"/>
      <c r="M9" s="681"/>
      <c r="N9" s="681"/>
      <c r="O9" s="520"/>
    </row>
    <row r="10" spans="2:17" ht="15.75" customHeight="1">
      <c r="B10" s="679"/>
      <c r="C10" s="680"/>
      <c r="D10" s="680"/>
      <c r="E10" s="677"/>
      <c r="F10" s="677"/>
      <c r="G10" s="677"/>
      <c r="H10" s="677"/>
      <c r="I10" s="677"/>
      <c r="J10" s="677"/>
      <c r="K10" s="677"/>
      <c r="L10" s="681"/>
      <c r="M10" s="681"/>
      <c r="N10" s="681"/>
      <c r="O10" s="520"/>
    </row>
    <row r="11" spans="2:17" ht="15.75" customHeight="1">
      <c r="B11" s="679"/>
      <c r="C11" s="680"/>
      <c r="D11" s="680"/>
      <c r="E11" s="677"/>
      <c r="F11" s="677"/>
      <c r="G11" s="677"/>
      <c r="H11" s="677"/>
      <c r="I11" s="677"/>
      <c r="J11" s="677"/>
      <c r="K11" s="677"/>
      <c r="L11" s="681"/>
      <c r="M11" s="681"/>
      <c r="N11" s="681"/>
      <c r="O11" s="520"/>
    </row>
    <row r="12" spans="2:17" ht="18" customHeight="1" thickBot="1">
      <c r="B12" s="104"/>
      <c r="C12" s="105"/>
      <c r="D12" s="105"/>
      <c r="E12" s="678"/>
      <c r="F12" s="678"/>
      <c r="G12" s="678"/>
      <c r="H12" s="678"/>
      <c r="I12" s="678"/>
      <c r="J12" s="678"/>
      <c r="K12" s="678"/>
      <c r="L12" s="107"/>
      <c r="M12" s="107"/>
      <c r="N12" s="515"/>
      <c r="O12" s="520"/>
    </row>
    <row r="13" spans="2:17" ht="14.25" customHeight="1">
      <c r="B13" s="109"/>
      <c r="C13" s="110"/>
      <c r="D13" s="110"/>
      <c r="E13" s="110"/>
      <c r="F13" s="98"/>
      <c r="G13" s="98"/>
      <c r="H13" s="110"/>
      <c r="I13" s="110"/>
      <c r="J13" s="110"/>
      <c r="K13" s="110"/>
      <c r="L13" s="110"/>
      <c r="M13" s="110"/>
      <c r="N13" s="94"/>
      <c r="O13" s="520"/>
      <c r="Q13" s="96"/>
    </row>
    <row r="14" spans="2:17" ht="14.25" customHeight="1">
      <c r="B14" s="109"/>
      <c r="C14" s="110"/>
      <c r="D14" s="110"/>
      <c r="E14" s="110"/>
      <c r="F14" s="98"/>
      <c r="G14" s="98"/>
      <c r="H14" s="110"/>
      <c r="I14" s="110"/>
      <c r="J14" s="110"/>
      <c r="K14" s="110"/>
      <c r="L14" s="110"/>
      <c r="M14" s="110"/>
      <c r="N14" s="94"/>
      <c r="O14" s="520"/>
    </row>
    <row r="15" spans="2:17" ht="14.25" customHeight="1">
      <c r="B15" s="109"/>
      <c r="C15" s="110"/>
      <c r="D15" s="110"/>
      <c r="E15" s="110"/>
      <c r="F15" s="98"/>
      <c r="G15" s="98"/>
      <c r="H15" s="110"/>
      <c r="I15" s="110"/>
      <c r="J15" s="110"/>
      <c r="K15" s="110"/>
      <c r="L15" s="110"/>
      <c r="M15" s="110"/>
      <c r="N15" s="94"/>
      <c r="O15" s="520"/>
    </row>
    <row r="16" spans="2:17" ht="14.25" customHeight="1" thickBot="1">
      <c r="B16" s="109"/>
      <c r="C16" s="110"/>
      <c r="D16" s="110"/>
      <c r="E16" s="110"/>
      <c r="F16" s="98"/>
      <c r="G16" s="98"/>
      <c r="H16" s="110"/>
      <c r="I16" s="110"/>
      <c r="J16" s="110"/>
      <c r="K16" s="110"/>
      <c r="L16" s="110"/>
      <c r="M16" s="110"/>
      <c r="N16" s="94"/>
      <c r="O16" s="520"/>
    </row>
    <row r="17" spans="2:19" s="112" customFormat="1" ht="19.5" thickBot="1">
      <c r="B17" s="113" t="s">
        <v>252</v>
      </c>
      <c r="C17" s="114"/>
      <c r="D17" s="114"/>
      <c r="E17" s="114"/>
      <c r="F17" s="114"/>
      <c r="G17" s="114"/>
      <c r="H17" s="114"/>
      <c r="I17" s="888"/>
      <c r="J17" s="888"/>
      <c r="K17" s="888"/>
      <c r="L17" s="888"/>
      <c r="M17" s="888"/>
      <c r="N17" s="888"/>
      <c r="O17" s="527"/>
    </row>
    <row r="18" spans="2:19" ht="14.25" customHeight="1">
      <c r="B18" s="109"/>
      <c r="C18" s="110"/>
      <c r="D18" s="110"/>
      <c r="E18" s="110"/>
      <c r="F18" s="98"/>
      <c r="G18" s="98"/>
      <c r="H18" s="110"/>
      <c r="I18" s="110"/>
      <c r="J18" s="110"/>
      <c r="K18" s="110"/>
      <c r="L18" s="110"/>
      <c r="M18" s="110"/>
      <c r="N18" s="94"/>
      <c r="O18" s="520"/>
    </row>
    <row r="19" spans="2:19" s="115" customFormat="1" ht="18.75">
      <c r="B19" s="116" t="s">
        <v>155</v>
      </c>
      <c r="C19" s="117"/>
      <c r="D19" s="117"/>
      <c r="E19" s="117"/>
      <c r="F19" s="117"/>
      <c r="G19" s="117"/>
      <c r="H19" s="117"/>
      <c r="I19" s="682" t="s">
        <v>156</v>
      </c>
      <c r="J19" s="682"/>
      <c r="K19" s="682"/>
      <c r="L19" s="682"/>
      <c r="M19" s="682"/>
      <c r="N19" s="682"/>
      <c r="O19" s="522"/>
      <c r="P19" s="118"/>
      <c r="Q19" s="118"/>
      <c r="R19" s="118"/>
      <c r="S19" s="118"/>
    </row>
    <row r="20" spans="2:19" ht="18" customHeight="1" thickBot="1">
      <c r="B20" s="119"/>
      <c r="C20" s="98"/>
      <c r="D20" s="98"/>
      <c r="E20" s="98"/>
      <c r="F20" s="98"/>
      <c r="G20" s="98"/>
      <c r="H20" s="98"/>
      <c r="I20" s="98"/>
      <c r="J20" s="98"/>
      <c r="K20" s="98"/>
      <c r="L20" s="98"/>
      <c r="M20" s="98"/>
      <c r="N20" s="94"/>
      <c r="O20" s="520"/>
    </row>
    <row r="21" spans="2:19" s="120" customFormat="1" ht="27.75" customHeight="1" thickTop="1" thickBot="1">
      <c r="B21" s="684" t="s">
        <v>7</v>
      </c>
      <c r="C21" s="685"/>
      <c r="D21" s="685"/>
      <c r="E21" s="686"/>
      <c r="I21" s="687" t="s">
        <v>7</v>
      </c>
      <c r="J21" s="685"/>
      <c r="K21" s="685"/>
      <c r="L21" s="685"/>
      <c r="M21" s="685"/>
      <c r="N21" s="887"/>
      <c r="O21" s="523"/>
      <c r="P21" s="121"/>
      <c r="Q21" s="121"/>
      <c r="R21" s="121"/>
      <c r="S21" s="121"/>
    </row>
    <row r="22" spans="2:19" s="122" customFormat="1" ht="22.5" customHeight="1" thickTop="1" thickBot="1">
      <c r="B22" s="123"/>
      <c r="C22" s="124"/>
      <c r="D22" s="124"/>
      <c r="E22" s="124"/>
      <c r="I22" s="124"/>
      <c r="J22" s="124"/>
      <c r="K22" s="124"/>
      <c r="L22" s="124"/>
      <c r="M22" s="124"/>
      <c r="N22" s="512"/>
      <c r="O22" s="524"/>
      <c r="P22" s="125"/>
      <c r="Q22" s="125"/>
      <c r="R22" s="125"/>
      <c r="S22" s="125"/>
    </row>
    <row r="23" spans="2:19">
      <c r="B23" s="126" t="s">
        <v>140</v>
      </c>
      <c r="C23" s="98"/>
      <c r="D23" s="98"/>
      <c r="E23" s="878" t="str">
        <f>'MA CLAIM FORM'!E23:H25</f>
        <v xml:space="preserve">Enter Operation NAME Here </v>
      </c>
      <c r="F23" s="879"/>
      <c r="G23" s="879"/>
      <c r="H23" s="880"/>
      <c r="I23" s="127"/>
      <c r="J23" s="127" t="s">
        <v>191</v>
      </c>
      <c r="K23" s="128" t="s">
        <v>97</v>
      </c>
      <c r="L23" s="129">
        <f>'MA CLAIM FORM'!L23</f>
        <v>0</v>
      </c>
      <c r="M23" s="128" t="s">
        <v>98</v>
      </c>
      <c r="N23" s="513">
        <f>'MA CLAIM FORM'!N23</f>
        <v>0</v>
      </c>
      <c r="O23" s="530"/>
    </row>
    <row r="24" spans="2:19" ht="15.75" customHeight="1">
      <c r="B24" s="119"/>
      <c r="C24" s="98"/>
      <c r="D24" s="98"/>
      <c r="E24" s="881"/>
      <c r="F24" s="882"/>
      <c r="G24" s="882"/>
      <c r="H24" s="883"/>
      <c r="I24" s="130"/>
      <c r="J24" s="130"/>
      <c r="K24" s="130"/>
      <c r="L24" s="130"/>
      <c r="M24" s="98"/>
      <c r="N24" s="514" t="s">
        <v>99</v>
      </c>
      <c r="O24" s="520"/>
    </row>
    <row r="25" spans="2:19" ht="15.75" customHeight="1" thickBot="1">
      <c r="B25" s="119"/>
      <c r="C25" s="98"/>
      <c r="D25" s="98"/>
      <c r="E25" s="884"/>
      <c r="F25" s="885"/>
      <c r="G25" s="885"/>
      <c r="H25" s="886"/>
      <c r="I25" s="130"/>
      <c r="J25" s="130"/>
      <c r="K25" s="130"/>
      <c r="L25" s="130"/>
      <c r="M25" s="98"/>
      <c r="N25" s="514"/>
      <c r="O25" s="520"/>
    </row>
    <row r="26" spans="2:19" s="131" customFormat="1" ht="18.75">
      <c r="B26" s="132" t="s">
        <v>138</v>
      </c>
      <c r="C26" s="133"/>
      <c r="D26" s="133"/>
      <c r="E26" s="133"/>
      <c r="F26" s="133"/>
      <c r="G26" s="133"/>
      <c r="H26" s="683" t="s">
        <v>139</v>
      </c>
      <c r="I26" s="683"/>
      <c r="J26" s="683"/>
      <c r="K26" s="683"/>
      <c r="L26" s="683"/>
      <c r="M26" s="683"/>
      <c r="N26" s="683"/>
      <c r="O26" s="521"/>
      <c r="P26" s="112"/>
      <c r="Q26" s="112"/>
      <c r="R26" s="112"/>
      <c r="S26" s="112"/>
    </row>
    <row r="27" spans="2:19">
      <c r="B27" s="135"/>
      <c r="C27" s="98"/>
      <c r="D27" s="98"/>
      <c r="E27" s="98"/>
      <c r="F27" s="98"/>
      <c r="G27" s="98"/>
      <c r="H27" s="136"/>
      <c r="I27" s="136"/>
      <c r="J27" s="98"/>
      <c r="K27" s="98"/>
      <c r="L27" s="98"/>
      <c r="M27" s="98"/>
      <c r="N27" s="94"/>
      <c r="O27" s="520"/>
    </row>
    <row r="28" spans="2:19">
      <c r="B28" s="135" t="s">
        <v>100</v>
      </c>
      <c r="C28" s="98"/>
      <c r="D28" s="873">
        <f>'MA CLAIM FORM'!D28:F28</f>
        <v>0</v>
      </c>
      <c r="E28" s="874"/>
      <c r="F28" s="875"/>
      <c r="G28" s="98"/>
      <c r="H28" s="136" t="s">
        <v>100</v>
      </c>
      <c r="I28" s="136"/>
      <c r="J28" s="876">
        <f>'MA CLAIM FORM'!J28:N28</f>
        <v>0</v>
      </c>
      <c r="K28" s="877"/>
      <c r="L28" s="877"/>
      <c r="M28" s="877"/>
      <c r="N28" s="877"/>
      <c r="O28" s="530"/>
    </row>
    <row r="29" spans="2:19">
      <c r="B29" s="135"/>
      <c r="C29" s="98"/>
      <c r="D29" s="137"/>
      <c r="E29" s="137"/>
      <c r="F29" s="137"/>
      <c r="G29" s="98"/>
      <c r="H29" s="136"/>
      <c r="I29" s="136"/>
      <c r="J29" s="137"/>
      <c r="K29" s="137"/>
      <c r="L29" s="137"/>
      <c r="M29" s="137"/>
      <c r="N29" s="511"/>
      <c r="O29" s="520"/>
    </row>
    <row r="30" spans="2:19">
      <c r="B30" s="135" t="s">
        <v>101</v>
      </c>
      <c r="C30" s="98"/>
      <c r="D30" s="873">
        <f>'MA CLAIM FORM'!D30:F30</f>
        <v>0</v>
      </c>
      <c r="E30" s="874"/>
      <c r="F30" s="875"/>
      <c r="G30" s="98"/>
      <c r="H30" s="136" t="s">
        <v>101</v>
      </c>
      <c r="I30" s="136"/>
      <c r="J30" s="876">
        <f>'MA CLAIM FORM'!J30:N30</f>
        <v>0</v>
      </c>
      <c r="K30" s="877"/>
      <c r="L30" s="877"/>
      <c r="M30" s="877"/>
      <c r="N30" s="877"/>
      <c r="O30" s="530"/>
    </row>
    <row r="31" spans="2:19">
      <c r="B31" s="135"/>
      <c r="C31" s="98"/>
      <c r="D31" s="137"/>
      <c r="E31" s="137"/>
      <c r="F31" s="137"/>
      <c r="G31" s="98"/>
      <c r="H31" s="98"/>
      <c r="I31" s="98"/>
      <c r="J31" s="137"/>
      <c r="K31" s="137"/>
      <c r="L31" s="137"/>
      <c r="M31" s="137"/>
      <c r="N31" s="511"/>
      <c r="O31" s="520"/>
    </row>
    <row r="32" spans="2:19">
      <c r="B32" s="135" t="s">
        <v>137</v>
      </c>
      <c r="C32" s="98"/>
      <c r="D32" s="873">
        <f>'MA CLAIM FORM'!D32:F32</f>
        <v>0</v>
      </c>
      <c r="E32" s="874"/>
      <c r="F32" s="875"/>
      <c r="G32" s="98"/>
      <c r="H32" s="136" t="s">
        <v>137</v>
      </c>
      <c r="I32" s="136"/>
      <c r="J32" s="876">
        <f>'MA CLAIM FORM'!J32:N32</f>
        <v>0</v>
      </c>
      <c r="K32" s="877"/>
      <c r="L32" s="877"/>
      <c r="M32" s="877"/>
      <c r="N32" s="877"/>
      <c r="O32" s="530"/>
    </row>
    <row r="33" spans="2:18">
      <c r="B33" s="135"/>
      <c r="C33" s="98"/>
      <c r="D33" s="137"/>
      <c r="E33" s="137"/>
      <c r="F33" s="137"/>
      <c r="G33" s="98"/>
      <c r="H33" s="136"/>
      <c r="I33" s="136"/>
      <c r="J33" s="105"/>
      <c r="K33" s="105"/>
      <c r="L33" s="105"/>
      <c r="M33" s="105"/>
      <c r="N33" s="510"/>
      <c r="O33" s="520"/>
    </row>
    <row r="34" spans="2:18">
      <c r="B34" s="135" t="s">
        <v>180</v>
      </c>
      <c r="C34" s="98"/>
      <c r="D34" s="663"/>
      <c r="E34" s="664"/>
      <c r="F34" s="665"/>
      <c r="G34" s="98"/>
      <c r="H34" s="136"/>
      <c r="I34" s="136"/>
      <c r="J34" s="105"/>
      <c r="K34" s="105"/>
      <c r="L34" s="105"/>
      <c r="M34" s="105"/>
      <c r="N34" s="510"/>
      <c r="O34" s="520"/>
    </row>
    <row r="35" spans="2:18" ht="16.5" thickBot="1">
      <c r="B35" s="138"/>
      <c r="C35" s="139"/>
      <c r="D35" s="139"/>
      <c r="E35" s="139"/>
      <c r="F35" s="139"/>
      <c r="G35" s="139"/>
      <c r="H35" s="139"/>
      <c r="I35" s="139"/>
      <c r="J35" s="139"/>
      <c r="K35" s="139"/>
      <c r="L35" s="139"/>
      <c r="M35" s="139"/>
      <c r="N35" s="139"/>
      <c r="O35" s="520"/>
    </row>
    <row r="36" spans="2:18">
      <c r="B36" s="136"/>
      <c r="C36" s="98"/>
      <c r="D36" s="98"/>
      <c r="E36" s="98"/>
      <c r="F36" s="98"/>
      <c r="G36" s="98"/>
      <c r="H36" s="98"/>
      <c r="I36" s="98"/>
      <c r="J36" s="98"/>
      <c r="K36" s="98"/>
      <c r="L36" s="98"/>
      <c r="M36" s="98"/>
      <c r="N36" s="94"/>
      <c r="O36" s="518"/>
    </row>
    <row r="37" spans="2:18" ht="16.5" thickBot="1">
      <c r="B37" s="136"/>
      <c r="C37" s="98"/>
      <c r="D37" s="98"/>
      <c r="E37" s="98"/>
      <c r="F37" s="98"/>
      <c r="G37" s="98"/>
      <c r="H37" s="98"/>
      <c r="I37" s="98"/>
      <c r="J37" s="98"/>
      <c r="K37" s="98"/>
      <c r="L37" s="98"/>
      <c r="M37" s="98"/>
      <c r="N37" s="94"/>
      <c r="O37" s="96"/>
    </row>
    <row r="38" spans="2:18" s="141" customFormat="1" ht="18.75" customHeight="1">
      <c r="B38" s="650" t="s">
        <v>169</v>
      </c>
      <c r="C38" s="770"/>
      <c r="D38" s="770"/>
      <c r="E38" s="770"/>
      <c r="F38" s="770"/>
      <c r="G38" s="142"/>
      <c r="H38" s="142"/>
      <c r="I38" s="143"/>
      <c r="J38" s="143"/>
      <c r="K38" s="143"/>
      <c r="L38" s="143"/>
      <c r="M38" s="143"/>
      <c r="N38" s="144"/>
      <c r="O38" s="549"/>
      <c r="P38" s="549"/>
    </row>
    <row r="39" spans="2:18" ht="10.5" customHeight="1">
      <c r="B39" s="145"/>
      <c r="C39" s="146"/>
      <c r="D39" s="146"/>
      <c r="E39" s="146"/>
      <c r="F39" s="146"/>
      <c r="G39" s="147"/>
      <c r="H39" s="147"/>
      <c r="I39" s="98"/>
      <c r="J39" s="98"/>
      <c r="K39" s="98"/>
      <c r="L39" s="98"/>
      <c r="M39" s="98"/>
      <c r="N39" s="111"/>
      <c r="O39" s="96"/>
      <c r="P39" s="96"/>
    </row>
    <row r="40" spans="2:18">
      <c r="B40" s="148" t="s">
        <v>178</v>
      </c>
      <c r="C40" s="149"/>
      <c r="D40" s="149"/>
      <c r="E40" s="146" t="s">
        <v>179</v>
      </c>
      <c r="F40" s="150"/>
      <c r="G40" s="150"/>
      <c r="H40" s="147"/>
      <c r="I40" s="151" t="s">
        <v>177</v>
      </c>
      <c r="J40" s="98"/>
      <c r="K40" s="98"/>
      <c r="L40" s="98"/>
      <c r="M40" s="98"/>
      <c r="N40" s="111"/>
      <c r="O40" s="96"/>
      <c r="P40" s="96"/>
    </row>
    <row r="41" spans="2:18" ht="15" customHeight="1">
      <c r="B41" s="733" t="s">
        <v>133</v>
      </c>
      <c r="C41" s="734"/>
      <c r="D41" s="735"/>
      <c r="E41" s="661" t="str">
        <f>VLOOKUP($B$41,'Mutual aid grades definitions'!$A:$E,2,FALSE)</f>
        <v xml:space="preserve"> </v>
      </c>
      <c r="F41" s="662"/>
      <c r="G41" s="662"/>
      <c r="H41" s="152"/>
      <c r="I41" s="710" t="str">
        <f>VLOOKUP($B$41,'Mutual aid grades definitions'!$A:$E,3,FALSE)</f>
        <v xml:space="preserve"> </v>
      </c>
      <c r="J41" s="710"/>
      <c r="K41" s="710"/>
      <c r="L41" s="710"/>
      <c r="M41" s="710"/>
      <c r="N41" s="711"/>
      <c r="O41" s="551"/>
      <c r="P41" s="552"/>
      <c r="Q41" s="153"/>
      <c r="R41" s="153"/>
    </row>
    <row r="42" spans="2:18" ht="15" customHeight="1">
      <c r="B42" s="155"/>
      <c r="C42" s="156"/>
      <c r="D42" s="156"/>
      <c r="E42" s="156"/>
      <c r="F42" s="157"/>
      <c r="G42" s="157"/>
      <c r="H42" s="157"/>
      <c r="I42" s="158"/>
      <c r="J42" s="157"/>
      <c r="K42" s="157"/>
      <c r="L42" s="157"/>
      <c r="M42" s="157"/>
      <c r="N42" s="159"/>
      <c r="O42" s="96"/>
      <c r="P42" s="96"/>
    </row>
    <row r="43" spans="2:18">
      <c r="B43" s="160" t="s">
        <v>172</v>
      </c>
      <c r="C43" s="161"/>
      <c r="D43" s="161"/>
      <c r="E43" s="161"/>
      <c r="F43" s="161"/>
      <c r="G43" s="161"/>
      <c r="H43" s="161"/>
      <c r="I43" s="151" t="s">
        <v>171</v>
      </c>
      <c r="J43" s="98"/>
      <c r="K43" s="98"/>
      <c r="L43" s="98"/>
      <c r="M43" s="98"/>
      <c r="N43" s="111"/>
      <c r="O43" s="96"/>
      <c r="P43" s="96"/>
    </row>
    <row r="44" spans="2:18" ht="15" customHeight="1">
      <c r="B44" s="652" t="str">
        <f>VLOOKUP($B$41,'Mutual aid grades definitions'!$A:$E,4,FALSE)</f>
        <v xml:space="preserve"> </v>
      </c>
      <c r="C44" s="653"/>
      <c r="D44" s="653"/>
      <c r="E44" s="653"/>
      <c r="F44" s="653"/>
      <c r="G44" s="654"/>
      <c r="H44" s="162"/>
      <c r="I44" s="712" t="str">
        <f>VLOOKUP($B$41,'Mutual aid grades definitions'!$A:$E,5,FALSE)</f>
        <v xml:space="preserve"> </v>
      </c>
      <c r="J44" s="653"/>
      <c r="K44" s="653"/>
      <c r="L44" s="653"/>
      <c r="M44" s="653"/>
      <c r="N44" s="713"/>
      <c r="O44" s="96"/>
      <c r="P44" s="96"/>
    </row>
    <row r="45" spans="2:18">
      <c r="B45" s="655"/>
      <c r="C45" s="656"/>
      <c r="D45" s="656"/>
      <c r="E45" s="656"/>
      <c r="F45" s="656"/>
      <c r="G45" s="657"/>
      <c r="H45" s="98"/>
      <c r="I45" s="714"/>
      <c r="J45" s="715"/>
      <c r="K45" s="715"/>
      <c r="L45" s="715"/>
      <c r="M45" s="715"/>
      <c r="N45" s="716"/>
      <c r="O45" s="96"/>
      <c r="P45" s="96"/>
    </row>
    <row r="46" spans="2:18">
      <c r="B46" s="658"/>
      <c r="C46" s="659"/>
      <c r="D46" s="659"/>
      <c r="E46" s="659"/>
      <c r="F46" s="659"/>
      <c r="G46" s="660"/>
      <c r="H46" s="163"/>
      <c r="I46" s="717"/>
      <c r="J46" s="659"/>
      <c r="K46" s="659"/>
      <c r="L46" s="659"/>
      <c r="M46" s="659"/>
      <c r="N46" s="718"/>
      <c r="O46" s="96"/>
      <c r="P46" s="96"/>
    </row>
    <row r="47" spans="2:18" ht="16.5" thickBot="1">
      <c r="B47" s="164"/>
      <c r="C47" s="165"/>
      <c r="D47" s="165"/>
      <c r="E47" s="165"/>
      <c r="F47" s="165"/>
      <c r="G47" s="165"/>
      <c r="H47" s="166"/>
      <c r="I47" s="165"/>
      <c r="J47" s="165"/>
      <c r="K47" s="165"/>
      <c r="L47" s="165"/>
      <c r="M47" s="165"/>
      <c r="N47" s="167"/>
      <c r="O47" s="96"/>
      <c r="P47" s="96"/>
    </row>
    <row r="48" spans="2:18">
      <c r="B48" s="168"/>
      <c r="C48" s="150"/>
      <c r="D48" s="150"/>
      <c r="E48" s="150"/>
      <c r="F48" s="150"/>
      <c r="G48" s="150"/>
      <c r="H48" s="163"/>
      <c r="I48" s="150"/>
      <c r="J48" s="150"/>
      <c r="K48" s="150"/>
      <c r="L48" s="150"/>
      <c r="M48" s="150"/>
      <c r="N48" s="509"/>
      <c r="O48" s="96"/>
      <c r="P48" s="96"/>
    </row>
    <row r="49" spans="2:19" ht="16.5" thickBot="1">
      <c r="B49" s="165"/>
      <c r="C49" s="150"/>
      <c r="D49" s="150"/>
      <c r="E49" s="150"/>
      <c r="F49" s="150"/>
      <c r="G49" s="150"/>
      <c r="H49" s="163"/>
      <c r="I49" s="150"/>
      <c r="J49" s="150"/>
      <c r="K49" s="150"/>
      <c r="L49" s="150"/>
      <c r="M49" s="150"/>
      <c r="N49" s="509"/>
      <c r="O49" s="96"/>
      <c r="P49" s="96"/>
    </row>
    <row r="50" spans="2:19" s="112" customFormat="1" ht="18.75">
      <c r="B50" s="650" t="s">
        <v>181</v>
      </c>
      <c r="C50" s="770"/>
      <c r="D50" s="770"/>
      <c r="E50" s="770"/>
      <c r="F50" s="770"/>
      <c r="G50" s="142"/>
      <c r="H50" s="142"/>
      <c r="I50" s="169"/>
      <c r="J50" s="169"/>
      <c r="K50" s="169"/>
      <c r="L50" s="169"/>
      <c r="M50" s="169"/>
      <c r="N50" s="170"/>
      <c r="O50" s="532"/>
      <c r="P50" s="532"/>
    </row>
    <row r="51" spans="2:19" ht="15.75" customHeight="1">
      <c r="B51" s="736" t="s">
        <v>182</v>
      </c>
      <c r="C51" s="737"/>
      <c r="D51" s="737"/>
      <c r="E51" s="738"/>
      <c r="G51" s="98"/>
      <c r="H51" s="700" t="str">
        <f>VLOOKUP(B51,'Mutual aid grades definitions'!A15:B17,2,FALSE)</f>
        <v xml:space="preserve"> </v>
      </c>
      <c r="I51" s="701"/>
      <c r="J51" s="701"/>
      <c r="K51" s="701"/>
      <c r="L51" s="701"/>
      <c r="M51" s="701"/>
      <c r="N51" s="702"/>
      <c r="O51" s="96"/>
      <c r="P51" s="96"/>
    </row>
    <row r="52" spans="2:19" ht="6.75" customHeight="1">
      <c r="B52" s="171"/>
      <c r="C52" s="172"/>
      <c r="D52" s="173"/>
      <c r="E52" s="173"/>
      <c r="F52" s="173"/>
      <c r="G52" s="147"/>
      <c r="H52" s="174"/>
      <c r="I52" s="175"/>
      <c r="J52" s="176"/>
      <c r="K52" s="177"/>
      <c r="L52" s="177"/>
      <c r="M52" s="177"/>
      <c r="N52" s="178"/>
      <c r="O52" s="96"/>
      <c r="P52" s="96"/>
    </row>
    <row r="53" spans="2:19" ht="15.75" customHeight="1">
      <c r="B53" s="736" t="s">
        <v>136</v>
      </c>
      <c r="C53" s="737"/>
      <c r="D53" s="737"/>
      <c r="E53" s="738"/>
      <c r="G53" s="98"/>
      <c r="H53" s="700" t="str">
        <f>VLOOKUP(B$53,'Mutual aid grades definitions'!$A$15:$B$21,2,FALSE)</f>
        <v xml:space="preserve"> </v>
      </c>
      <c r="I53" s="701"/>
      <c r="J53" s="701"/>
      <c r="K53" s="701"/>
      <c r="L53" s="701"/>
      <c r="M53" s="701"/>
      <c r="N53" s="702"/>
      <c r="O53" s="96"/>
      <c r="P53" s="96"/>
    </row>
    <row r="54" spans="2:19" ht="28.5" customHeight="1">
      <c r="B54" s="179"/>
      <c r="C54" s="180"/>
      <c r="D54" s="180"/>
      <c r="E54" s="180"/>
      <c r="F54" s="98"/>
      <c r="G54" s="98"/>
      <c r="H54" s="751" t="str">
        <f>VLOOKUP(B$53,'Mutual aid grades definitions'!$A$15:$C$21,3,FALSE)</f>
        <v xml:space="preserve"> </v>
      </c>
      <c r="I54" s="751"/>
      <c r="J54" s="751"/>
      <c r="K54" s="751"/>
      <c r="L54" s="751"/>
      <c r="M54" s="751"/>
      <c r="N54" s="752"/>
      <c r="O54" s="96"/>
      <c r="P54" s="96"/>
    </row>
    <row r="55" spans="2:19" ht="6.75" customHeight="1" thickBot="1">
      <c r="B55" s="181"/>
      <c r="C55" s="139"/>
      <c r="D55" s="139"/>
      <c r="E55" s="139"/>
      <c r="F55" s="139"/>
      <c r="G55" s="139"/>
      <c r="H55" s="139"/>
      <c r="I55" s="139"/>
      <c r="J55" s="139"/>
      <c r="K55" s="139"/>
      <c r="L55" s="139"/>
      <c r="M55" s="139"/>
      <c r="N55" s="140"/>
      <c r="O55" s="96"/>
      <c r="P55" s="96"/>
    </row>
    <row r="56" spans="2:19">
      <c r="B56" s="147"/>
      <c r="C56" s="98"/>
      <c r="D56" s="98"/>
      <c r="E56" s="98"/>
      <c r="F56" s="98"/>
      <c r="G56" s="98"/>
      <c r="H56" s="98"/>
      <c r="I56" s="98"/>
      <c r="J56" s="98"/>
      <c r="K56" s="98"/>
      <c r="L56" s="98"/>
      <c r="M56" s="98"/>
      <c r="N56" s="94"/>
      <c r="O56" s="96"/>
      <c r="P56" s="96"/>
    </row>
    <row r="57" spans="2:19" ht="16.5" thickBot="1">
      <c r="B57" s="147"/>
      <c r="C57" s="98"/>
      <c r="D57" s="98"/>
      <c r="E57" s="98"/>
      <c r="F57" s="98"/>
      <c r="G57" s="98"/>
      <c r="H57" s="98"/>
      <c r="I57" s="98"/>
      <c r="J57" s="98"/>
      <c r="K57" s="98"/>
      <c r="L57" s="98"/>
      <c r="M57" s="98"/>
      <c r="N57" s="94"/>
      <c r="O57" s="96"/>
      <c r="P57" s="96"/>
    </row>
    <row r="58" spans="2:19" s="112" customFormat="1" ht="11.25" customHeight="1">
      <c r="B58" s="754" t="s">
        <v>338</v>
      </c>
      <c r="C58" s="761"/>
      <c r="D58" s="761"/>
      <c r="E58" s="764" t="str">
        <f>'MA CLAIM FORM'!E58</f>
        <v>ONLY CLAIM HOURS IN EXCESS OF 8. FIRST 8 HOURS IS FUNDED BY HOME FORCE FOR UKFPU DEPLOYMENTS</v>
      </c>
      <c r="F58" s="765"/>
      <c r="G58" s="765"/>
      <c r="H58" s="765"/>
      <c r="I58" s="766"/>
      <c r="K58" s="745" t="s">
        <v>339</v>
      </c>
      <c r="L58" s="746"/>
      <c r="M58" s="747"/>
      <c r="N58" s="747"/>
      <c r="O58" s="532"/>
      <c r="P58" s="532"/>
    </row>
    <row r="59" spans="2:19" s="112" customFormat="1" ht="16.5" customHeight="1" thickBot="1">
      <c r="B59" s="762"/>
      <c r="C59" s="763"/>
      <c r="D59" s="763"/>
      <c r="E59" s="767"/>
      <c r="F59" s="767"/>
      <c r="G59" s="767"/>
      <c r="H59" s="767"/>
      <c r="I59" s="768"/>
      <c r="K59" s="748"/>
      <c r="L59" s="749"/>
      <c r="M59" s="750"/>
      <c r="N59" s="750"/>
      <c r="O59" s="533"/>
      <c r="P59" s="532"/>
    </row>
    <row r="60" spans="2:19" s="182" customFormat="1" ht="44.25" customHeight="1" thickBot="1">
      <c r="B60" s="183" t="s">
        <v>0</v>
      </c>
      <c r="C60" s="183" t="s">
        <v>1</v>
      </c>
      <c r="D60" s="183" t="s">
        <v>190</v>
      </c>
      <c r="E60" s="184" t="s">
        <v>3</v>
      </c>
      <c r="F60" s="536" t="s">
        <v>378</v>
      </c>
      <c r="G60" s="183" t="s">
        <v>2</v>
      </c>
      <c r="H60" s="183" t="s">
        <v>316</v>
      </c>
      <c r="I60" s="184" t="s">
        <v>4</v>
      </c>
      <c r="J60" s="147"/>
      <c r="K60" s="183" t="s">
        <v>193</v>
      </c>
      <c r="L60" s="185" t="s">
        <v>537</v>
      </c>
      <c r="M60" s="185" t="s">
        <v>265</v>
      </c>
      <c r="N60" s="505" t="s">
        <v>194</v>
      </c>
      <c r="O60" s="534"/>
      <c r="P60" s="553"/>
      <c r="Q60" s="187"/>
      <c r="R60" s="187"/>
      <c r="S60" s="187"/>
    </row>
    <row r="61" spans="2:19">
      <c r="B61" s="188"/>
      <c r="C61" s="189"/>
      <c r="D61" s="190" t="s">
        <v>192</v>
      </c>
      <c r="E61" s="191"/>
      <c r="F61" s="644" t="s">
        <v>133</v>
      </c>
      <c r="G61" s="193"/>
      <c r="H61" s="194"/>
      <c r="I61" s="195"/>
      <c r="J61" s="196"/>
      <c r="K61" s="197" t="str">
        <f>IF(G61="","",VLOOKUP(P61,Rates!B:D,3,FALSE))</f>
        <v/>
      </c>
      <c r="L61" s="198" t="str">
        <f>K61</f>
        <v/>
      </c>
      <c r="M61" s="537">
        <f>G61*H61*I61</f>
        <v>0</v>
      </c>
      <c r="N61" s="506" t="str">
        <f>IF(G61="","",IF(L61=K61,(K61*M61),(L61*M61)))</f>
        <v/>
      </c>
      <c r="O61" s="534"/>
      <c r="P61" s="96" t="str">
        <f>CONCATENATE(F61&amp;D61)</f>
        <v>Choose Mutual Aid GradePlease Choose</v>
      </c>
    </row>
    <row r="62" spans="2:19">
      <c r="B62" s="188"/>
      <c r="C62" s="189"/>
      <c r="D62" s="190" t="s">
        <v>192</v>
      </c>
      <c r="E62" s="201"/>
      <c r="F62" s="202" t="s">
        <v>133</v>
      </c>
      <c r="G62" s="193"/>
      <c r="H62" s="194"/>
      <c r="I62" s="195"/>
      <c r="J62" s="203"/>
      <c r="K62" s="197" t="str">
        <f>IF(G62="","",VLOOKUP(P62,Rates!B:D,3,FALSE))</f>
        <v/>
      </c>
      <c r="L62" s="198" t="str">
        <f t="shared" ref="L62:L88" si="0">K62</f>
        <v/>
      </c>
      <c r="M62" s="538">
        <f t="shared" ref="M62:M88" si="1">G62*H62*I62</f>
        <v>0</v>
      </c>
      <c r="N62" s="506" t="str">
        <f t="shared" ref="N62:N88" si="2">IF(G62="","",IF(L62=K62,(K62*M62),(L62*M62)))</f>
        <v/>
      </c>
      <c r="O62" s="534"/>
      <c r="P62" s="96" t="str">
        <f t="shared" ref="P62:P88" si="3">CONCATENATE(F62&amp;D62)</f>
        <v>Choose Mutual Aid GradePlease Choose</v>
      </c>
    </row>
    <row r="63" spans="2:19">
      <c r="B63" s="188"/>
      <c r="C63" s="189"/>
      <c r="D63" s="190" t="s">
        <v>192</v>
      </c>
      <c r="E63" s="204"/>
      <c r="F63" s="202" t="s">
        <v>133</v>
      </c>
      <c r="G63" s="193"/>
      <c r="H63" s="194"/>
      <c r="I63" s="195"/>
      <c r="J63" s="203"/>
      <c r="K63" s="197" t="str">
        <f>IF(G63="","",VLOOKUP(P63,Rates!B:D,3,FALSE))</f>
        <v/>
      </c>
      <c r="L63" s="198" t="str">
        <f t="shared" si="0"/>
        <v/>
      </c>
      <c r="M63" s="538">
        <f t="shared" si="1"/>
        <v>0</v>
      </c>
      <c r="N63" s="506" t="str">
        <f t="shared" si="2"/>
        <v/>
      </c>
      <c r="O63" s="534"/>
      <c r="P63" s="96" t="str">
        <f t="shared" si="3"/>
        <v>Choose Mutual Aid GradePlease Choose</v>
      </c>
    </row>
    <row r="64" spans="2:19">
      <c r="B64" s="188"/>
      <c r="C64" s="189"/>
      <c r="D64" s="190" t="s">
        <v>192</v>
      </c>
      <c r="E64" s="204"/>
      <c r="F64" s="202" t="s">
        <v>133</v>
      </c>
      <c r="G64" s="193"/>
      <c r="H64" s="194"/>
      <c r="I64" s="195"/>
      <c r="J64" s="203"/>
      <c r="K64" s="197" t="str">
        <f>IF(G64="","",VLOOKUP(P64,Rates!B:D,3,FALSE))</f>
        <v/>
      </c>
      <c r="L64" s="198" t="str">
        <f t="shared" si="0"/>
        <v/>
      </c>
      <c r="M64" s="538">
        <f t="shared" si="1"/>
        <v>0</v>
      </c>
      <c r="N64" s="506" t="str">
        <f t="shared" si="2"/>
        <v/>
      </c>
      <c r="O64" s="534"/>
      <c r="P64" s="96" t="str">
        <f t="shared" si="3"/>
        <v>Choose Mutual Aid GradePlease Choose</v>
      </c>
    </row>
    <row r="65" spans="2:16">
      <c r="B65" s="188"/>
      <c r="C65" s="189"/>
      <c r="D65" s="190" t="s">
        <v>192</v>
      </c>
      <c r="E65" s="204"/>
      <c r="F65" s="202" t="s">
        <v>133</v>
      </c>
      <c r="G65" s="193"/>
      <c r="H65" s="194"/>
      <c r="I65" s="195"/>
      <c r="J65" s="203"/>
      <c r="K65" s="197" t="str">
        <f>IF(G65="","",VLOOKUP(P65,Rates!B:D,3,FALSE))</f>
        <v/>
      </c>
      <c r="L65" s="198" t="str">
        <f t="shared" si="0"/>
        <v/>
      </c>
      <c r="M65" s="538">
        <f t="shared" si="1"/>
        <v>0</v>
      </c>
      <c r="N65" s="506" t="str">
        <f t="shared" si="2"/>
        <v/>
      </c>
      <c r="O65" s="534"/>
      <c r="P65" s="96" t="str">
        <f t="shared" si="3"/>
        <v>Choose Mutual Aid GradePlease Choose</v>
      </c>
    </row>
    <row r="66" spans="2:16">
      <c r="B66" s="188"/>
      <c r="C66" s="189"/>
      <c r="D66" s="190" t="s">
        <v>192</v>
      </c>
      <c r="E66" s="204"/>
      <c r="F66" s="202" t="s">
        <v>133</v>
      </c>
      <c r="G66" s="193"/>
      <c r="H66" s="194"/>
      <c r="I66" s="195"/>
      <c r="J66" s="203"/>
      <c r="K66" s="197" t="str">
        <f>IF(G66="","",VLOOKUP(P66,Rates!B:D,3,FALSE))</f>
        <v/>
      </c>
      <c r="L66" s="198" t="str">
        <f t="shared" si="0"/>
        <v/>
      </c>
      <c r="M66" s="538">
        <f t="shared" si="1"/>
        <v>0</v>
      </c>
      <c r="N66" s="506" t="str">
        <f t="shared" si="2"/>
        <v/>
      </c>
      <c r="O66" s="534"/>
      <c r="P66" s="96" t="str">
        <f t="shared" si="3"/>
        <v>Choose Mutual Aid GradePlease Choose</v>
      </c>
    </row>
    <row r="67" spans="2:16">
      <c r="B67" s="188"/>
      <c r="C67" s="189"/>
      <c r="D67" s="190" t="s">
        <v>192</v>
      </c>
      <c r="E67" s="204"/>
      <c r="F67" s="202" t="s">
        <v>133</v>
      </c>
      <c r="G67" s="193"/>
      <c r="H67" s="194"/>
      <c r="I67" s="195"/>
      <c r="J67" s="203"/>
      <c r="K67" s="197" t="str">
        <f>IF(G67="","",VLOOKUP(P67,Rates!B:D,3,FALSE))</f>
        <v/>
      </c>
      <c r="L67" s="198" t="str">
        <f t="shared" si="0"/>
        <v/>
      </c>
      <c r="M67" s="538">
        <f t="shared" si="1"/>
        <v>0</v>
      </c>
      <c r="N67" s="506" t="str">
        <f t="shared" si="2"/>
        <v/>
      </c>
      <c r="O67" s="534"/>
      <c r="P67" s="96" t="str">
        <f t="shared" si="3"/>
        <v>Choose Mutual Aid GradePlease Choose</v>
      </c>
    </row>
    <row r="68" spans="2:16">
      <c r="B68" s="188"/>
      <c r="C68" s="189"/>
      <c r="D68" s="190" t="s">
        <v>192</v>
      </c>
      <c r="E68" s="204"/>
      <c r="F68" s="202" t="s">
        <v>133</v>
      </c>
      <c r="G68" s="193"/>
      <c r="H68" s="194"/>
      <c r="I68" s="195"/>
      <c r="J68" s="203"/>
      <c r="K68" s="197" t="str">
        <f>IF(G68="","",VLOOKUP(P68,Rates!B:D,3,FALSE))</f>
        <v/>
      </c>
      <c r="L68" s="198" t="str">
        <f t="shared" si="0"/>
        <v/>
      </c>
      <c r="M68" s="538">
        <f t="shared" si="1"/>
        <v>0</v>
      </c>
      <c r="N68" s="506" t="str">
        <f t="shared" si="2"/>
        <v/>
      </c>
      <c r="O68" s="534"/>
      <c r="P68" s="96" t="str">
        <f t="shared" si="3"/>
        <v>Choose Mutual Aid GradePlease Choose</v>
      </c>
    </row>
    <row r="69" spans="2:16">
      <c r="B69" s="188"/>
      <c r="C69" s="189"/>
      <c r="D69" s="190" t="s">
        <v>192</v>
      </c>
      <c r="E69" s="204"/>
      <c r="F69" s="202" t="s">
        <v>133</v>
      </c>
      <c r="G69" s="193"/>
      <c r="H69" s="194"/>
      <c r="I69" s="195"/>
      <c r="J69" s="203"/>
      <c r="K69" s="197" t="str">
        <f>IF(G69="","",VLOOKUP(P69,Rates!B:D,3,FALSE))</f>
        <v/>
      </c>
      <c r="L69" s="198" t="str">
        <f t="shared" si="0"/>
        <v/>
      </c>
      <c r="M69" s="538">
        <f t="shared" si="1"/>
        <v>0</v>
      </c>
      <c r="N69" s="506" t="str">
        <f t="shared" si="2"/>
        <v/>
      </c>
      <c r="O69" s="534"/>
      <c r="P69" s="96" t="str">
        <f t="shared" si="3"/>
        <v>Choose Mutual Aid GradePlease Choose</v>
      </c>
    </row>
    <row r="70" spans="2:16">
      <c r="B70" s="188"/>
      <c r="C70" s="189"/>
      <c r="D70" s="190" t="s">
        <v>192</v>
      </c>
      <c r="E70" s="204"/>
      <c r="F70" s="202" t="s">
        <v>133</v>
      </c>
      <c r="G70" s="193"/>
      <c r="H70" s="194"/>
      <c r="I70" s="195"/>
      <c r="J70" s="203"/>
      <c r="K70" s="197" t="str">
        <f>IF(G70="","",VLOOKUP(P70,Rates!B:D,3,FALSE))</f>
        <v/>
      </c>
      <c r="L70" s="198" t="str">
        <f t="shared" si="0"/>
        <v/>
      </c>
      <c r="M70" s="538">
        <f t="shared" si="1"/>
        <v>0</v>
      </c>
      <c r="N70" s="506" t="str">
        <f t="shared" si="2"/>
        <v/>
      </c>
      <c r="O70" s="534"/>
      <c r="P70" s="96" t="str">
        <f t="shared" si="3"/>
        <v>Choose Mutual Aid GradePlease Choose</v>
      </c>
    </row>
    <row r="71" spans="2:16">
      <c r="B71" s="188"/>
      <c r="C71" s="189"/>
      <c r="D71" s="190" t="s">
        <v>192</v>
      </c>
      <c r="E71" s="204"/>
      <c r="F71" s="202" t="s">
        <v>133</v>
      </c>
      <c r="G71" s="193"/>
      <c r="H71" s="194"/>
      <c r="I71" s="195"/>
      <c r="J71" s="203"/>
      <c r="K71" s="197" t="str">
        <f>IF(G71="","",VLOOKUP(P71,Rates!B:D,3,FALSE))</f>
        <v/>
      </c>
      <c r="L71" s="198" t="str">
        <f t="shared" si="0"/>
        <v/>
      </c>
      <c r="M71" s="538">
        <f t="shared" si="1"/>
        <v>0</v>
      </c>
      <c r="N71" s="506" t="str">
        <f t="shared" si="2"/>
        <v/>
      </c>
      <c r="O71" s="534"/>
      <c r="P71" s="96" t="str">
        <f t="shared" si="3"/>
        <v>Choose Mutual Aid GradePlease Choose</v>
      </c>
    </row>
    <row r="72" spans="2:16">
      <c r="B72" s="188"/>
      <c r="C72" s="189"/>
      <c r="D72" s="190" t="s">
        <v>192</v>
      </c>
      <c r="E72" s="204"/>
      <c r="F72" s="202" t="s">
        <v>133</v>
      </c>
      <c r="G72" s="193"/>
      <c r="H72" s="194"/>
      <c r="I72" s="195"/>
      <c r="J72" s="203"/>
      <c r="K72" s="197" t="str">
        <f>IF(G72="","",VLOOKUP(P72,Rates!B:D,3,FALSE))</f>
        <v/>
      </c>
      <c r="L72" s="198" t="str">
        <f t="shared" si="0"/>
        <v/>
      </c>
      <c r="M72" s="538">
        <f t="shared" si="1"/>
        <v>0</v>
      </c>
      <c r="N72" s="506" t="str">
        <f t="shared" si="2"/>
        <v/>
      </c>
      <c r="O72" s="534"/>
      <c r="P72" s="96" t="str">
        <f t="shared" si="3"/>
        <v>Choose Mutual Aid GradePlease Choose</v>
      </c>
    </row>
    <row r="73" spans="2:16">
      <c r="B73" s="188"/>
      <c r="C73" s="189"/>
      <c r="D73" s="190" t="s">
        <v>192</v>
      </c>
      <c r="E73" s="204"/>
      <c r="F73" s="202" t="s">
        <v>133</v>
      </c>
      <c r="G73" s="193"/>
      <c r="H73" s="194"/>
      <c r="I73" s="195"/>
      <c r="J73" s="203"/>
      <c r="K73" s="197" t="str">
        <f>IF(G73="","",VLOOKUP(P73,Rates!B:D,3,FALSE))</f>
        <v/>
      </c>
      <c r="L73" s="198" t="str">
        <f t="shared" si="0"/>
        <v/>
      </c>
      <c r="M73" s="538">
        <f t="shared" si="1"/>
        <v>0</v>
      </c>
      <c r="N73" s="506" t="str">
        <f t="shared" si="2"/>
        <v/>
      </c>
      <c r="O73" s="534"/>
      <c r="P73" s="96" t="str">
        <f t="shared" si="3"/>
        <v>Choose Mutual Aid GradePlease Choose</v>
      </c>
    </row>
    <row r="74" spans="2:16">
      <c r="B74" s="188"/>
      <c r="C74" s="189"/>
      <c r="D74" s="190" t="s">
        <v>192</v>
      </c>
      <c r="E74" s="204"/>
      <c r="F74" s="202" t="s">
        <v>133</v>
      </c>
      <c r="G74" s="193"/>
      <c r="H74" s="194"/>
      <c r="I74" s="195"/>
      <c r="J74" s="203"/>
      <c r="K74" s="197" t="str">
        <f>IF(G74="","",VLOOKUP(P74,Rates!B:D,3,FALSE))</f>
        <v/>
      </c>
      <c r="L74" s="198" t="str">
        <f t="shared" si="0"/>
        <v/>
      </c>
      <c r="M74" s="538">
        <f t="shared" si="1"/>
        <v>0</v>
      </c>
      <c r="N74" s="506" t="str">
        <f t="shared" si="2"/>
        <v/>
      </c>
      <c r="O74" s="534"/>
      <c r="P74" s="96" t="str">
        <f t="shared" si="3"/>
        <v>Choose Mutual Aid GradePlease Choose</v>
      </c>
    </row>
    <row r="75" spans="2:16">
      <c r="B75" s="188"/>
      <c r="C75" s="189"/>
      <c r="D75" s="190" t="s">
        <v>192</v>
      </c>
      <c r="E75" s="204"/>
      <c r="F75" s="202" t="s">
        <v>133</v>
      </c>
      <c r="G75" s="193"/>
      <c r="H75" s="194"/>
      <c r="I75" s="195"/>
      <c r="J75" s="203"/>
      <c r="K75" s="197" t="str">
        <f>IF(G75="","",VLOOKUP(P75,Rates!B:D,3,FALSE))</f>
        <v/>
      </c>
      <c r="L75" s="198" t="str">
        <f t="shared" si="0"/>
        <v/>
      </c>
      <c r="M75" s="538">
        <f t="shared" si="1"/>
        <v>0</v>
      </c>
      <c r="N75" s="506" t="str">
        <f t="shared" si="2"/>
        <v/>
      </c>
      <c r="O75" s="534"/>
      <c r="P75" s="96" t="str">
        <f t="shared" si="3"/>
        <v>Choose Mutual Aid GradePlease Choose</v>
      </c>
    </row>
    <row r="76" spans="2:16">
      <c r="B76" s="188"/>
      <c r="C76" s="189"/>
      <c r="D76" s="190" t="s">
        <v>192</v>
      </c>
      <c r="E76" s="204"/>
      <c r="F76" s="202" t="s">
        <v>133</v>
      </c>
      <c r="G76" s="193"/>
      <c r="H76" s="194"/>
      <c r="I76" s="195"/>
      <c r="J76" s="203"/>
      <c r="K76" s="197" t="str">
        <f>IF(G76="","",VLOOKUP(P76,Rates!B:D,3,FALSE))</f>
        <v/>
      </c>
      <c r="L76" s="198" t="str">
        <f t="shared" si="0"/>
        <v/>
      </c>
      <c r="M76" s="538">
        <f t="shared" si="1"/>
        <v>0</v>
      </c>
      <c r="N76" s="506" t="str">
        <f t="shared" si="2"/>
        <v/>
      </c>
      <c r="O76" s="534"/>
      <c r="P76" s="96" t="str">
        <f t="shared" si="3"/>
        <v>Choose Mutual Aid GradePlease Choose</v>
      </c>
    </row>
    <row r="77" spans="2:16">
      <c r="B77" s="188"/>
      <c r="C77" s="189"/>
      <c r="D77" s="190" t="s">
        <v>192</v>
      </c>
      <c r="E77" s="204"/>
      <c r="F77" s="202" t="s">
        <v>133</v>
      </c>
      <c r="G77" s="193"/>
      <c r="H77" s="194"/>
      <c r="I77" s="195"/>
      <c r="J77" s="203"/>
      <c r="K77" s="197" t="str">
        <f>IF(G77="","",VLOOKUP(P77,Rates!B:D,3,FALSE))</f>
        <v/>
      </c>
      <c r="L77" s="198" t="str">
        <f t="shared" si="0"/>
        <v/>
      </c>
      <c r="M77" s="538">
        <f t="shared" si="1"/>
        <v>0</v>
      </c>
      <c r="N77" s="506" t="str">
        <f t="shared" si="2"/>
        <v/>
      </c>
      <c r="O77" s="534"/>
      <c r="P77" s="96" t="str">
        <f t="shared" si="3"/>
        <v>Choose Mutual Aid GradePlease Choose</v>
      </c>
    </row>
    <row r="78" spans="2:16">
      <c r="B78" s="188"/>
      <c r="C78" s="189"/>
      <c r="D78" s="190" t="s">
        <v>192</v>
      </c>
      <c r="E78" s="204"/>
      <c r="F78" s="202" t="s">
        <v>133</v>
      </c>
      <c r="G78" s="193"/>
      <c r="H78" s="194"/>
      <c r="I78" s="195"/>
      <c r="J78" s="203"/>
      <c r="K78" s="197" t="str">
        <f>IF(G78="","",VLOOKUP(P78,Rates!B:D,3,FALSE))</f>
        <v/>
      </c>
      <c r="L78" s="198" t="str">
        <f t="shared" si="0"/>
        <v/>
      </c>
      <c r="M78" s="538">
        <f t="shared" si="1"/>
        <v>0</v>
      </c>
      <c r="N78" s="506" t="str">
        <f t="shared" si="2"/>
        <v/>
      </c>
      <c r="O78" s="534"/>
      <c r="P78" s="96" t="str">
        <f t="shared" si="3"/>
        <v>Choose Mutual Aid GradePlease Choose</v>
      </c>
    </row>
    <row r="79" spans="2:16">
      <c r="B79" s="188"/>
      <c r="C79" s="189"/>
      <c r="D79" s="190" t="s">
        <v>192</v>
      </c>
      <c r="E79" s="204"/>
      <c r="F79" s="202" t="s">
        <v>133</v>
      </c>
      <c r="G79" s="193"/>
      <c r="H79" s="194"/>
      <c r="I79" s="195"/>
      <c r="J79" s="203"/>
      <c r="K79" s="197" t="str">
        <f>IF(G79="","",VLOOKUP(P79,Rates!B:D,3,FALSE))</f>
        <v/>
      </c>
      <c r="L79" s="198" t="str">
        <f t="shared" si="0"/>
        <v/>
      </c>
      <c r="M79" s="538">
        <f t="shared" si="1"/>
        <v>0</v>
      </c>
      <c r="N79" s="506" t="str">
        <f t="shared" si="2"/>
        <v/>
      </c>
      <c r="O79" s="534"/>
      <c r="P79" s="96" t="str">
        <f t="shared" si="3"/>
        <v>Choose Mutual Aid GradePlease Choose</v>
      </c>
    </row>
    <row r="80" spans="2:16">
      <c r="B80" s="188"/>
      <c r="C80" s="189"/>
      <c r="D80" s="190" t="s">
        <v>192</v>
      </c>
      <c r="E80" s="204"/>
      <c r="F80" s="202" t="s">
        <v>133</v>
      </c>
      <c r="G80" s="193"/>
      <c r="H80" s="194"/>
      <c r="I80" s="195"/>
      <c r="J80" s="203"/>
      <c r="K80" s="197" t="str">
        <f>IF(G80="","",VLOOKUP(P80,Rates!B:D,3,FALSE))</f>
        <v/>
      </c>
      <c r="L80" s="198" t="str">
        <f t="shared" si="0"/>
        <v/>
      </c>
      <c r="M80" s="538">
        <f t="shared" si="1"/>
        <v>0</v>
      </c>
      <c r="N80" s="506" t="str">
        <f t="shared" si="2"/>
        <v/>
      </c>
      <c r="O80" s="534"/>
      <c r="P80" s="96" t="str">
        <f t="shared" si="3"/>
        <v>Choose Mutual Aid GradePlease Choose</v>
      </c>
    </row>
    <row r="81" spans="2:20">
      <c r="B81" s="188"/>
      <c r="C81" s="189"/>
      <c r="D81" s="190" t="s">
        <v>192</v>
      </c>
      <c r="E81" s="204"/>
      <c r="F81" s="202" t="s">
        <v>133</v>
      </c>
      <c r="G81" s="193"/>
      <c r="H81" s="194"/>
      <c r="I81" s="195"/>
      <c r="J81" s="203"/>
      <c r="K81" s="197" t="str">
        <f>IF(G81="","",VLOOKUP(P81,Rates!B:D,3,FALSE))</f>
        <v/>
      </c>
      <c r="L81" s="198" t="str">
        <f t="shared" si="0"/>
        <v/>
      </c>
      <c r="M81" s="538">
        <f t="shared" si="1"/>
        <v>0</v>
      </c>
      <c r="N81" s="506" t="str">
        <f t="shared" si="2"/>
        <v/>
      </c>
      <c r="O81" s="534"/>
      <c r="P81" s="96" t="str">
        <f t="shared" si="3"/>
        <v>Choose Mutual Aid GradePlease Choose</v>
      </c>
    </row>
    <row r="82" spans="2:20">
      <c r="B82" s="188"/>
      <c r="C82" s="189"/>
      <c r="D82" s="190" t="s">
        <v>192</v>
      </c>
      <c r="E82" s="204"/>
      <c r="F82" s="202" t="s">
        <v>133</v>
      </c>
      <c r="G82" s="193"/>
      <c r="H82" s="194"/>
      <c r="I82" s="195"/>
      <c r="J82" s="203"/>
      <c r="K82" s="197" t="str">
        <f>IF(G82="","",VLOOKUP(P82,Rates!B:D,3,FALSE))</f>
        <v/>
      </c>
      <c r="L82" s="198" t="str">
        <f t="shared" si="0"/>
        <v/>
      </c>
      <c r="M82" s="538">
        <f t="shared" si="1"/>
        <v>0</v>
      </c>
      <c r="N82" s="506" t="str">
        <f t="shared" si="2"/>
        <v/>
      </c>
      <c r="O82" s="534"/>
      <c r="P82" s="96" t="str">
        <f t="shared" si="3"/>
        <v>Choose Mutual Aid GradePlease Choose</v>
      </c>
    </row>
    <row r="83" spans="2:20">
      <c r="B83" s="188"/>
      <c r="C83" s="189"/>
      <c r="D83" s="190" t="s">
        <v>192</v>
      </c>
      <c r="E83" s="204"/>
      <c r="F83" s="202" t="s">
        <v>133</v>
      </c>
      <c r="G83" s="193"/>
      <c r="H83" s="194"/>
      <c r="I83" s="195"/>
      <c r="J83" s="203"/>
      <c r="K83" s="197" t="str">
        <f>IF(G83="","",VLOOKUP(P83,Rates!B:D,3,FALSE))</f>
        <v/>
      </c>
      <c r="L83" s="198" t="str">
        <f t="shared" si="0"/>
        <v/>
      </c>
      <c r="M83" s="538">
        <f t="shared" si="1"/>
        <v>0</v>
      </c>
      <c r="N83" s="506" t="str">
        <f t="shared" si="2"/>
        <v/>
      </c>
      <c r="O83" s="534"/>
      <c r="P83" s="96" t="str">
        <f t="shared" si="3"/>
        <v>Choose Mutual Aid GradePlease Choose</v>
      </c>
    </row>
    <row r="84" spans="2:20">
      <c r="B84" s="188"/>
      <c r="C84" s="189"/>
      <c r="D84" s="190" t="s">
        <v>192</v>
      </c>
      <c r="E84" s="204"/>
      <c r="F84" s="202" t="s">
        <v>133</v>
      </c>
      <c r="G84" s="193"/>
      <c r="H84" s="194"/>
      <c r="I84" s="195"/>
      <c r="J84" s="203"/>
      <c r="K84" s="197" t="str">
        <f>IF(G84="","",VLOOKUP(P84,Rates!B:D,3,FALSE))</f>
        <v/>
      </c>
      <c r="L84" s="198" t="str">
        <f t="shared" si="0"/>
        <v/>
      </c>
      <c r="M84" s="538">
        <f t="shared" si="1"/>
        <v>0</v>
      </c>
      <c r="N84" s="506" t="str">
        <f t="shared" si="2"/>
        <v/>
      </c>
      <c r="O84" s="534"/>
      <c r="P84" s="96" t="str">
        <f t="shared" si="3"/>
        <v>Choose Mutual Aid GradePlease Choose</v>
      </c>
    </row>
    <row r="85" spans="2:20">
      <c r="B85" s="188"/>
      <c r="C85" s="189"/>
      <c r="D85" s="190" t="s">
        <v>192</v>
      </c>
      <c r="E85" s="204"/>
      <c r="F85" s="202" t="s">
        <v>133</v>
      </c>
      <c r="G85" s="193"/>
      <c r="H85" s="194"/>
      <c r="I85" s="195"/>
      <c r="J85" s="203"/>
      <c r="K85" s="197" t="str">
        <f>IF(G85="","",VLOOKUP(P85,Rates!B:D,3,FALSE))</f>
        <v/>
      </c>
      <c r="L85" s="198" t="str">
        <f t="shared" si="0"/>
        <v/>
      </c>
      <c r="M85" s="538">
        <f t="shared" si="1"/>
        <v>0</v>
      </c>
      <c r="N85" s="506" t="str">
        <f t="shared" si="2"/>
        <v/>
      </c>
      <c r="O85" s="534"/>
      <c r="P85" s="96" t="str">
        <f t="shared" si="3"/>
        <v>Choose Mutual Aid GradePlease Choose</v>
      </c>
    </row>
    <row r="86" spans="2:20">
      <c r="B86" s="188"/>
      <c r="C86" s="189"/>
      <c r="D86" s="190" t="s">
        <v>192</v>
      </c>
      <c r="E86" s="204"/>
      <c r="F86" s="202" t="s">
        <v>133</v>
      </c>
      <c r="G86" s="193"/>
      <c r="H86" s="194"/>
      <c r="I86" s="195"/>
      <c r="J86" s="203"/>
      <c r="K86" s="197" t="str">
        <f>IF(G86="","",VLOOKUP(P86,Rates!B:D,3,FALSE))</f>
        <v/>
      </c>
      <c r="L86" s="198" t="str">
        <f t="shared" si="0"/>
        <v/>
      </c>
      <c r="M86" s="538">
        <f t="shared" si="1"/>
        <v>0</v>
      </c>
      <c r="N86" s="506" t="str">
        <f t="shared" si="2"/>
        <v/>
      </c>
      <c r="O86" s="534"/>
      <c r="P86" s="96" t="str">
        <f t="shared" si="3"/>
        <v>Choose Mutual Aid GradePlease Choose</v>
      </c>
    </row>
    <row r="87" spans="2:20">
      <c r="B87" s="188"/>
      <c r="C87" s="189"/>
      <c r="D87" s="190" t="s">
        <v>192</v>
      </c>
      <c r="E87" s="204"/>
      <c r="F87" s="202" t="s">
        <v>133</v>
      </c>
      <c r="G87" s="193"/>
      <c r="H87" s="194"/>
      <c r="I87" s="195"/>
      <c r="J87" s="203"/>
      <c r="K87" s="197" t="str">
        <f>IF(G87="","",VLOOKUP(P87,Rates!B:D,3,FALSE))</f>
        <v/>
      </c>
      <c r="L87" s="198" t="str">
        <f t="shared" si="0"/>
        <v/>
      </c>
      <c r="M87" s="538">
        <f t="shared" si="1"/>
        <v>0</v>
      </c>
      <c r="N87" s="506" t="str">
        <f t="shared" si="2"/>
        <v/>
      </c>
      <c r="O87" s="534"/>
      <c r="P87" s="96" t="str">
        <f t="shared" si="3"/>
        <v>Choose Mutual Aid GradePlease Choose</v>
      </c>
    </row>
    <row r="88" spans="2:20" ht="16.5" thickBot="1">
      <c r="B88" s="205"/>
      <c r="C88" s="206"/>
      <c r="D88" s="207" t="s">
        <v>192</v>
      </c>
      <c r="E88" s="208"/>
      <c r="F88" s="202" t="s">
        <v>133</v>
      </c>
      <c r="G88" s="210"/>
      <c r="H88" s="211"/>
      <c r="I88" s="212"/>
      <c r="J88" s="213"/>
      <c r="K88" s="214" t="str">
        <f>IF(G88="","",VLOOKUP(P88,Rates!B:D,3,FALSE))</f>
        <v/>
      </c>
      <c r="L88" s="198" t="str">
        <f t="shared" si="0"/>
        <v/>
      </c>
      <c r="M88" s="539">
        <f t="shared" si="1"/>
        <v>0</v>
      </c>
      <c r="N88" s="507" t="str">
        <f t="shared" si="2"/>
        <v/>
      </c>
      <c r="O88" s="534"/>
      <c r="P88" s="96" t="str">
        <f t="shared" si="3"/>
        <v>Choose Mutual Aid GradePlease Choose</v>
      </c>
    </row>
    <row r="89" spans="2:20" ht="31.5" customHeight="1" thickBot="1">
      <c r="B89" s="203"/>
      <c r="C89" s="203"/>
      <c r="D89" s="203"/>
      <c r="E89" s="203"/>
      <c r="F89" s="203"/>
      <c r="G89" s="203"/>
      <c r="H89" s="203"/>
      <c r="I89" s="203"/>
      <c r="J89" s="213"/>
      <c r="K89" s="216"/>
      <c r="L89" s="868" t="s">
        <v>313</v>
      </c>
      <c r="M89" s="870"/>
      <c r="N89" s="508">
        <f>SUM(N61:N88)</f>
        <v>0</v>
      </c>
      <c r="O89" s="534"/>
      <c r="P89" s="96"/>
    </row>
    <row r="90" spans="2:20" ht="16.5" thickBot="1">
      <c r="B90" s="554"/>
      <c r="C90" s="554"/>
      <c r="D90" s="554"/>
      <c r="E90" s="554"/>
      <c r="F90" s="554"/>
      <c r="G90" s="554"/>
      <c r="H90" s="554"/>
      <c r="I90" s="555"/>
      <c r="J90" s="213"/>
      <c r="K90" s="556"/>
      <c r="L90" s="557"/>
      <c r="M90" s="558"/>
      <c r="N90" s="223"/>
      <c r="O90" s="531"/>
    </row>
    <row r="91" spans="2:20" s="112" customFormat="1" ht="15" customHeight="1">
      <c r="B91" s="779" t="s">
        <v>350</v>
      </c>
      <c r="C91" s="780"/>
      <c r="D91" s="780"/>
      <c r="E91" s="780"/>
      <c r="F91" s="780"/>
      <c r="G91" s="780"/>
      <c r="H91" s="780"/>
      <c r="I91" s="781"/>
      <c r="J91" s="224"/>
      <c r="K91" s="871" t="s">
        <v>351</v>
      </c>
      <c r="L91" s="872"/>
      <c r="M91" s="872"/>
      <c r="N91" s="872"/>
      <c r="O91" s="872"/>
    </row>
    <row r="92" spans="2:20" s="112" customFormat="1" ht="15.75" customHeight="1" thickBot="1">
      <c r="B92" s="782"/>
      <c r="C92" s="783"/>
      <c r="D92" s="783"/>
      <c r="E92" s="783"/>
      <c r="F92" s="783"/>
      <c r="G92" s="783"/>
      <c r="H92" s="783"/>
      <c r="I92" s="784"/>
      <c r="J92" s="224"/>
      <c r="K92" s="726"/>
      <c r="L92" s="727"/>
      <c r="M92" s="727"/>
      <c r="N92" s="727"/>
      <c r="O92" s="727"/>
    </row>
    <row r="93" spans="2:20" s="225" customFormat="1" ht="58.9" customHeight="1" thickBot="1">
      <c r="B93" s="226" t="s">
        <v>0</v>
      </c>
      <c r="C93" s="226" t="s">
        <v>1</v>
      </c>
      <c r="D93" s="227" t="s">
        <v>232</v>
      </c>
      <c r="E93" s="227" t="s">
        <v>223</v>
      </c>
      <c r="F93" s="227" t="s">
        <v>204</v>
      </c>
      <c r="G93" s="227" t="s">
        <v>416</v>
      </c>
      <c r="H93" s="227" t="s">
        <v>227</v>
      </c>
      <c r="I93" s="227" t="s">
        <v>311</v>
      </c>
      <c r="J93" s="228"/>
      <c r="K93" s="540" t="s">
        <v>228</v>
      </c>
      <c r="L93" s="229" t="s">
        <v>413</v>
      </c>
      <c r="M93" s="540" t="s">
        <v>229</v>
      </c>
      <c r="N93" s="541" t="s">
        <v>230</v>
      </c>
      <c r="O93" s="231" t="s">
        <v>318</v>
      </c>
      <c r="P93" s="232"/>
      <c r="Q93" s="233"/>
      <c r="R93" s="232"/>
      <c r="S93" s="232"/>
      <c r="T93" s="232"/>
    </row>
    <row r="94" spans="2:20">
      <c r="B94" s="263"/>
      <c r="C94" s="189"/>
      <c r="D94" s="234" t="s">
        <v>192</v>
      </c>
      <c r="E94" s="235"/>
      <c r="F94" s="236"/>
      <c r="G94" s="236"/>
      <c r="H94" s="542" t="str">
        <f>IF(D94="please Choose"," ",VLOOKUP(D94,Equipment!$B$43:$C$49,2,FALSE))</f>
        <v xml:space="preserve"> </v>
      </c>
      <c r="I94" s="238"/>
      <c r="J94" s="213"/>
      <c r="K94" s="239" t="str">
        <f>IF($D94="Basic Overnight",(F94*G94*H94),IF($D94="Enhanced Overnight/Hardship",(F94*G94*VLOOKUP("Basic Overnight",Equipment!$B$43:$C$49,2,FALSE)),""))</f>
        <v/>
      </c>
      <c r="L94" s="241" t="str">
        <f>IFERROR(VLOOKUP(D94,Equipment!$B$46:$C$47,2,FALSE)*F94*G94," ")</f>
        <v xml:space="preserve"> </v>
      </c>
      <c r="M94" s="241" t="str">
        <f>IF($D94="Hardship Only",(F94*G94*H94),IF($D94="Enhanced Overnight/Hardship",(F94*G94*VLOOKUP("Hardship Only",Equipment!$B$43:$C$49,2,FALSE)),""))</f>
        <v/>
      </c>
      <c r="N94" s="242" t="str">
        <f t="shared" ref="N94:N102" si="4">IF($I94="","",(F94*I94))</f>
        <v/>
      </c>
      <c r="O94" s="243" t="str">
        <f t="shared" ref="O94:O102" si="5">IF(G94="","",(SUM(K94:N94)*1.138))</f>
        <v/>
      </c>
      <c r="Q94" s="244"/>
      <c r="T94" s="97"/>
    </row>
    <row r="95" spans="2:20">
      <c r="B95" s="188"/>
      <c r="C95" s="189"/>
      <c r="D95" s="234" t="s">
        <v>192</v>
      </c>
      <c r="E95" s="189"/>
      <c r="F95" s="245"/>
      <c r="G95" s="245"/>
      <c r="H95" s="542" t="str">
        <f>IF(D95="please Choose"," ",VLOOKUP(D95,Equipment!$B$43:$C$49,2,FALSE))</f>
        <v xml:space="preserve"> </v>
      </c>
      <c r="I95" s="238"/>
      <c r="J95" s="213"/>
      <c r="K95" s="197" t="str">
        <f>IF($D95="Basic Overnight",(F95*G95*H95),IF($D95="Enhanced Overnight/Hardship",(F95*G95*VLOOKUP("Basic Overnight",Equipment!$B$43:$C$49,2,FALSE)),""))</f>
        <v/>
      </c>
      <c r="L95" s="240" t="str">
        <f>IFERROR(VLOOKUP(D95,Equipment!$B$46:$C$47,2,FALSE)*F95*G95," ")</f>
        <v xml:space="preserve"> </v>
      </c>
      <c r="M95" s="240" t="str">
        <f>IF($D95="Hardship Only",(F95*G95*H95),IF($D95="Enhanced Overnight/Hardship",(F95*G95*VLOOKUP("Hardship Only",Equipment!$B$43:$C$49,2,FALSE)),""))</f>
        <v/>
      </c>
      <c r="N95" s="246" t="str">
        <f t="shared" si="4"/>
        <v/>
      </c>
      <c r="O95" s="247" t="str">
        <f t="shared" si="5"/>
        <v/>
      </c>
      <c r="Q95" s="244"/>
      <c r="T95" s="97"/>
    </row>
    <row r="96" spans="2:20">
      <c r="B96" s="188"/>
      <c r="C96" s="189"/>
      <c r="D96" s="234" t="s">
        <v>192</v>
      </c>
      <c r="E96" s="189"/>
      <c r="F96" s="245"/>
      <c r="G96" s="245"/>
      <c r="H96" s="542" t="str">
        <f>IF(D96="please Choose"," ",VLOOKUP(D96,Equipment!$B$43:$C$49,2,FALSE))</f>
        <v xml:space="preserve"> </v>
      </c>
      <c r="I96" s="238"/>
      <c r="J96" s="213"/>
      <c r="K96" s="197" t="str">
        <f>IF($D96="Basic Overnight",(F96*G96*H96),IF($D96="Enhanced Overnight/Hardship",(F96*G96*VLOOKUP("Basic Overnight",Equipment!$B$43:$C$49,2,FALSE)),""))</f>
        <v/>
      </c>
      <c r="L96" s="240" t="str">
        <f>IFERROR(VLOOKUP(D96,Equipment!$B$46:$C$47,2,FALSE)*F96*G96," ")</f>
        <v xml:space="preserve"> </v>
      </c>
      <c r="M96" s="240" t="str">
        <f>IF($D96="Hardship Only",(F96*G96*H96),IF($D96="Enhanced Overnight/Hardship",(F96*G96*VLOOKUP("Hardship Only",Equipment!$B$43:$C$49,2,FALSE)),""))</f>
        <v/>
      </c>
      <c r="N96" s="246" t="str">
        <f t="shared" si="4"/>
        <v/>
      </c>
      <c r="O96" s="247" t="str">
        <f t="shared" si="5"/>
        <v/>
      </c>
      <c r="Q96" s="244"/>
      <c r="T96" s="97"/>
    </row>
    <row r="97" spans="2:20">
      <c r="B97" s="188"/>
      <c r="C97" s="189"/>
      <c r="D97" s="234" t="s">
        <v>192</v>
      </c>
      <c r="E97" s="189"/>
      <c r="F97" s="245"/>
      <c r="G97" s="245"/>
      <c r="H97" s="542" t="str">
        <f>IF(D97="please Choose"," ",VLOOKUP(D97,Equipment!$B$43:$C$49,2,FALSE))</f>
        <v xml:space="preserve"> </v>
      </c>
      <c r="I97" s="238"/>
      <c r="J97" s="213"/>
      <c r="K97" s="197" t="str">
        <f>IF($D97="Basic Overnight",(F97*G97*H97),IF($D97="Enhanced Overnight/Hardship",(F97*G97*VLOOKUP("Basic Overnight",Equipment!$B$43:$C$49,2,FALSE)),""))</f>
        <v/>
      </c>
      <c r="L97" s="240" t="str">
        <f>IFERROR(VLOOKUP(D97,Equipment!$B$46:$C$47,2,FALSE)*F97*G97," ")</f>
        <v xml:space="preserve"> </v>
      </c>
      <c r="M97" s="240" t="str">
        <f>IF($D97="Hardship Only",(F97*G97*H97),IF($D97="Enhanced Overnight/Hardship",(F97*G97*VLOOKUP("Hardship Only",Equipment!$B$43:$C$49,2,FALSE)),""))</f>
        <v/>
      </c>
      <c r="N97" s="246" t="str">
        <f t="shared" si="4"/>
        <v/>
      </c>
      <c r="O97" s="247" t="str">
        <f t="shared" si="5"/>
        <v/>
      </c>
      <c r="Q97" s="244"/>
      <c r="T97" s="97"/>
    </row>
    <row r="98" spans="2:20">
      <c r="B98" s="188"/>
      <c r="C98" s="189"/>
      <c r="D98" s="234" t="s">
        <v>192</v>
      </c>
      <c r="E98" s="189"/>
      <c r="F98" s="245"/>
      <c r="G98" s="245"/>
      <c r="H98" s="542" t="str">
        <f>IF(D98="please Choose"," ",VLOOKUP(D98,Equipment!$B$43:$C$49,2,FALSE))</f>
        <v xml:space="preserve"> </v>
      </c>
      <c r="I98" s="238"/>
      <c r="J98" s="213"/>
      <c r="K98" s="197" t="str">
        <f>IF($D98="Basic Overnight",(F98*G98*H98),IF($D98="Enhanced Overnight/Hardship",(F98*G98*VLOOKUP("Basic Overnight",Equipment!$B$43:$C$49,2,FALSE)),""))</f>
        <v/>
      </c>
      <c r="L98" s="240" t="str">
        <f>IFERROR(VLOOKUP(D98,Equipment!$B$46:$C$47,2,FALSE)*F98*G98," ")</f>
        <v xml:space="preserve"> </v>
      </c>
      <c r="M98" s="240" t="str">
        <f>IF($D98="Hardship Only",(F98*G98*H98),IF($D98="Enhanced Overnight/Hardship",(F98*G98*VLOOKUP("Hardship Only",Equipment!$B$43:$C$49,2,FALSE)),""))</f>
        <v/>
      </c>
      <c r="N98" s="246" t="str">
        <f t="shared" si="4"/>
        <v/>
      </c>
      <c r="O98" s="247" t="str">
        <f t="shared" si="5"/>
        <v/>
      </c>
      <c r="Q98" s="244"/>
      <c r="T98" s="97"/>
    </row>
    <row r="99" spans="2:20">
      <c r="B99" s="188"/>
      <c r="C99" s="189"/>
      <c r="D99" s="234" t="s">
        <v>192</v>
      </c>
      <c r="E99" s="189"/>
      <c r="F99" s="245"/>
      <c r="G99" s="245"/>
      <c r="H99" s="542" t="str">
        <f>IF(D99="please Choose"," ",VLOOKUP(D99,Equipment!$B$43:$C$49,2,FALSE))</f>
        <v xml:space="preserve"> </v>
      </c>
      <c r="I99" s="238"/>
      <c r="J99" s="213"/>
      <c r="K99" s="197" t="str">
        <f>IF($D99="Basic Overnight",(F99*G99*H99),IF($D99="Enhanced Overnight/Hardship",(F99*G99*VLOOKUP("Basic Overnight",Equipment!$B$43:$C$49,2,FALSE)),""))</f>
        <v/>
      </c>
      <c r="L99" s="240" t="str">
        <f>IFERROR(VLOOKUP(D99,Equipment!$B$46:$C$47,2,FALSE)*F99*G99," ")</f>
        <v xml:space="preserve"> </v>
      </c>
      <c r="M99" s="240" t="str">
        <f>IF($D99="Hardship Only",(F99*G99*H99),IF($D99="Enhanced Overnight/Hardship",(F99*G99*VLOOKUP("Hardship Only",Equipment!$B$43:$C$49,2,FALSE)),""))</f>
        <v/>
      </c>
      <c r="N99" s="246" t="str">
        <f t="shared" si="4"/>
        <v/>
      </c>
      <c r="O99" s="247" t="str">
        <f t="shared" si="5"/>
        <v/>
      </c>
      <c r="Q99" s="244"/>
      <c r="T99" s="97"/>
    </row>
    <row r="100" spans="2:20">
      <c r="B100" s="188"/>
      <c r="C100" s="189"/>
      <c r="D100" s="234" t="s">
        <v>192</v>
      </c>
      <c r="E100" s="189"/>
      <c r="F100" s="245"/>
      <c r="G100" s="245"/>
      <c r="H100" s="542" t="str">
        <f>IF(D100="please Choose"," ",VLOOKUP(D100,Equipment!$B$43:$C$49,2,FALSE))</f>
        <v xml:space="preserve"> </v>
      </c>
      <c r="I100" s="238"/>
      <c r="J100" s="213"/>
      <c r="K100" s="197" t="str">
        <f>IF($D100="Basic Overnight",(F100*G100*H100),IF($D100="Enhanced Overnight/Hardship",(F100*G100*VLOOKUP("Basic Overnight",Equipment!$B$43:$C$49,2,FALSE)),""))</f>
        <v/>
      </c>
      <c r="L100" s="240" t="str">
        <f>IFERROR(VLOOKUP(D100,Equipment!$B$46:$C$47,2,FALSE)*F100*G100," ")</f>
        <v xml:space="preserve"> </v>
      </c>
      <c r="M100" s="240" t="str">
        <f>IF($D100="Hardship Only",(F100*G100*H100),IF($D100="Enhanced Overnight/Hardship",(F100*G100*VLOOKUP("Hardship Only",Equipment!$B$43:$C$49,2,FALSE)),""))</f>
        <v/>
      </c>
      <c r="N100" s="246" t="str">
        <f t="shared" si="4"/>
        <v/>
      </c>
      <c r="O100" s="247" t="str">
        <f t="shared" si="5"/>
        <v/>
      </c>
      <c r="Q100" s="244"/>
      <c r="T100" s="97"/>
    </row>
    <row r="101" spans="2:20">
      <c r="B101" s="543"/>
      <c r="C101" s="189"/>
      <c r="D101" s="234" t="s">
        <v>192</v>
      </c>
      <c r="E101" s="189"/>
      <c r="F101" s="245"/>
      <c r="G101" s="245"/>
      <c r="H101" s="542" t="str">
        <f>IF(D101="please Choose"," ",VLOOKUP(D101,Equipment!$B$43:$C$49,2,FALSE))</f>
        <v xml:space="preserve"> </v>
      </c>
      <c r="I101" s="238"/>
      <c r="J101" s="213"/>
      <c r="K101" s="197" t="str">
        <f>IF($D101="Basic Overnight",(F101*G101*H101),IF($D101="Enhanced Overnight/Hardship",(F101*G101*VLOOKUP("Basic Overnight",Equipment!$B$43:$C$49,2,FALSE)),""))</f>
        <v/>
      </c>
      <c r="L101" s="240" t="str">
        <f>IFERROR(VLOOKUP(D101,Equipment!$B$46:$C$47,2,FALSE)*F101*G101," ")</f>
        <v xml:space="preserve"> </v>
      </c>
      <c r="M101" s="240" t="str">
        <f>IF($D101="Hardship Only",(F101*G101*H101),IF($D101="Enhanced Overnight/Hardship",(F101*G101*VLOOKUP("Hardship Only",Equipment!$B$43:$C$49,2,FALSE)),""))</f>
        <v/>
      </c>
      <c r="N101" s="246" t="str">
        <f t="shared" si="4"/>
        <v/>
      </c>
      <c r="O101" s="247" t="str">
        <f t="shared" si="5"/>
        <v/>
      </c>
      <c r="Q101" s="244"/>
      <c r="T101" s="97"/>
    </row>
    <row r="102" spans="2:20" ht="16.5" thickBot="1">
      <c r="B102" s="544"/>
      <c r="C102" s="206"/>
      <c r="D102" s="248" t="s">
        <v>192</v>
      </c>
      <c r="E102" s="206"/>
      <c r="F102" s="249"/>
      <c r="G102" s="249"/>
      <c r="H102" s="545" t="str">
        <f>IF(D102="please Choose"," ",VLOOKUP(D102,Equipment!$B$43:$C$49,2,FALSE))</f>
        <v xml:space="preserve"> </v>
      </c>
      <c r="I102" s="251"/>
      <c r="J102" s="213"/>
      <c r="K102" s="214" t="str">
        <f>IF($D102="Basic Overnight",(F102*G102*H102),IF($D102="Enhanced Overnight/Hardship",(F102*G102*VLOOKUP("Basic Overnight",Equipment!$B$43:$C$49,2,FALSE)),""))</f>
        <v/>
      </c>
      <c r="L102" s="252" t="str">
        <f>IFERROR(VLOOKUP(D102,Equipment!$B$46:$C$47,2,FALSE)*F102*G102," ")</f>
        <v xml:space="preserve"> </v>
      </c>
      <c r="M102" s="252" t="str">
        <f>IF($D102="Hardship Only",(F102*G102*H102),IF($D102="Enhanced Overnight/Hardship",(F102*G102*VLOOKUP("Hardship Only",Equipment!$B$43:$C$49,2,FALSE)),""))</f>
        <v/>
      </c>
      <c r="N102" s="253" t="str">
        <f t="shared" si="4"/>
        <v/>
      </c>
      <c r="O102" s="254" t="str">
        <f t="shared" si="5"/>
        <v/>
      </c>
      <c r="Q102" s="244"/>
      <c r="T102" s="97"/>
    </row>
    <row r="103" spans="2:20" ht="33.75" customHeight="1" thickBot="1">
      <c r="B103" s="255"/>
      <c r="C103" s="255"/>
      <c r="D103" s="255"/>
      <c r="E103" s="255"/>
      <c r="F103" s="255"/>
      <c r="G103" s="255"/>
      <c r="H103" s="255"/>
      <c r="I103" s="255"/>
      <c r="J103" s="256"/>
      <c r="K103" s="257"/>
      <c r="L103" s="868" t="s">
        <v>340</v>
      </c>
      <c r="M103" s="869"/>
      <c r="N103" s="870"/>
      <c r="O103" s="310">
        <f>SUM(O94:O102)</f>
        <v>0</v>
      </c>
      <c r="P103" s="244"/>
    </row>
    <row r="104" spans="2:20" ht="15" customHeight="1">
      <c r="B104" s="258"/>
      <c r="C104" s="721" t="str">
        <f>IF(D94="Inspectors Bonus","Any Inspector bonus/allowances for deployments such as Mutual Aid are considered by the NPCC outside the remit of the National Guidelines on Charging for Police Services: Mutual Aid Cost Recovery and not reclaimable from a recipient of the Mutual Aid."," ")</f>
        <v xml:space="preserve"> </v>
      </c>
      <c r="D104" s="721"/>
      <c r="E104" s="721"/>
      <c r="F104" s="721"/>
      <c r="G104" s="721"/>
      <c r="H104" s="721"/>
      <c r="I104" s="721"/>
      <c r="J104" s="256"/>
      <c r="K104" s="259"/>
      <c r="L104" s="259"/>
      <c r="M104" s="259"/>
      <c r="N104" s="259"/>
      <c r="P104" s="244"/>
    </row>
    <row r="105" spans="2:20" ht="16.5" thickBot="1">
      <c r="B105" s="258"/>
      <c r="C105" s="722"/>
      <c r="D105" s="722"/>
      <c r="E105" s="722"/>
      <c r="F105" s="722"/>
      <c r="G105" s="722"/>
      <c r="H105" s="722"/>
      <c r="I105" s="722"/>
      <c r="J105" s="256"/>
      <c r="K105" s="259"/>
      <c r="L105" s="259"/>
      <c r="M105" s="259"/>
      <c r="N105" s="259"/>
      <c r="P105" s="244"/>
    </row>
    <row r="106" spans="2:20" s="112" customFormat="1" ht="15" customHeight="1">
      <c r="B106" s="754" t="s">
        <v>348</v>
      </c>
      <c r="C106" s="755"/>
      <c r="D106" s="755"/>
      <c r="E106" s="755"/>
      <c r="F106" s="755"/>
      <c r="G106" s="755"/>
      <c r="H106" s="755"/>
      <c r="I106" s="756"/>
      <c r="J106" s="224"/>
      <c r="K106" s="723" t="s">
        <v>349</v>
      </c>
      <c r="L106" s="724"/>
      <c r="M106" s="724"/>
      <c r="N106" s="725"/>
    </row>
    <row r="107" spans="2:20" s="112" customFormat="1" ht="15.75" customHeight="1" thickBot="1">
      <c r="B107" s="757"/>
      <c r="C107" s="758"/>
      <c r="D107" s="758"/>
      <c r="E107" s="758"/>
      <c r="F107" s="758"/>
      <c r="G107" s="758"/>
      <c r="H107" s="758"/>
      <c r="I107" s="759"/>
      <c r="J107" s="224"/>
      <c r="K107" s="726"/>
      <c r="L107" s="727"/>
      <c r="M107" s="727"/>
      <c r="N107" s="728"/>
    </row>
    <row r="108" spans="2:20" s="182" customFormat="1" ht="44.25" customHeight="1" thickBot="1">
      <c r="B108" s="260" t="s">
        <v>0</v>
      </c>
      <c r="C108" s="260" t="s">
        <v>1</v>
      </c>
      <c r="D108" s="261" t="s">
        <v>260</v>
      </c>
      <c r="E108" s="731" t="s">
        <v>223</v>
      </c>
      <c r="F108" s="732"/>
      <c r="G108" s="261" t="s">
        <v>240</v>
      </c>
      <c r="H108" s="261" t="s">
        <v>241</v>
      </c>
      <c r="I108" s="261" t="s">
        <v>242</v>
      </c>
      <c r="J108" s="228"/>
      <c r="K108" s="229" t="s">
        <v>272</v>
      </c>
      <c r="L108" s="719"/>
      <c r="M108" s="720"/>
      <c r="N108" s="262" t="s">
        <v>231</v>
      </c>
      <c r="O108" s="187"/>
      <c r="P108" s="187"/>
      <c r="Q108" s="187"/>
      <c r="R108" s="187"/>
      <c r="S108" s="187"/>
    </row>
    <row r="109" spans="2:20">
      <c r="B109" s="263"/>
      <c r="C109" s="235"/>
      <c r="D109" s="264" t="s">
        <v>239</v>
      </c>
      <c r="E109" s="265"/>
      <c r="F109" s="266"/>
      <c r="G109" s="267"/>
      <c r="H109" s="267"/>
      <c r="I109" s="268"/>
      <c r="J109" s="213"/>
      <c r="K109" s="269" t="str">
        <f>IF($D109="Specialist equipment",(G109*H109*I109),"")</f>
        <v/>
      </c>
      <c r="L109" s="270"/>
      <c r="M109" s="271"/>
      <c r="N109" s="200" t="str">
        <f>IF(G109="","",(SUM(K109)))</f>
        <v/>
      </c>
    </row>
    <row r="110" spans="2:20">
      <c r="B110" s="188"/>
      <c r="C110" s="189"/>
      <c r="D110" s="264" t="s">
        <v>239</v>
      </c>
      <c r="E110" s="322"/>
      <c r="F110" s="273"/>
      <c r="G110" s="274"/>
      <c r="H110" s="274"/>
      <c r="I110" s="275"/>
      <c r="J110" s="213"/>
      <c r="K110" s="276" t="str">
        <f>IF($D110="Specialist equipment",(G110*H110*I110),"")</f>
        <v/>
      </c>
      <c r="L110" s="277"/>
      <c r="M110" s="278"/>
      <c r="N110" s="200" t="str">
        <f>IF(G110="","",(SUM(K110)))</f>
        <v/>
      </c>
    </row>
    <row r="111" spans="2:20" ht="16.5" thickBot="1">
      <c r="B111" s="205"/>
      <c r="C111" s="206"/>
      <c r="D111" s="248" t="s">
        <v>239</v>
      </c>
      <c r="E111" s="325"/>
      <c r="F111" s="280"/>
      <c r="G111" s="281"/>
      <c r="H111" s="281"/>
      <c r="I111" s="282"/>
      <c r="J111" s="213"/>
      <c r="K111" s="283" t="str">
        <f>IF($D111="Specialist equipment",(G111*H111*I111),"")</f>
        <v/>
      </c>
      <c r="L111" s="284"/>
      <c r="M111" s="285"/>
      <c r="N111" s="200" t="str">
        <f>IF(G111="","",(SUM(K111)))</f>
        <v/>
      </c>
    </row>
    <row r="112" spans="2:20" ht="18.75" customHeight="1" thickBot="1">
      <c r="B112" s="172"/>
      <c r="C112" s="286"/>
      <c r="D112" s="286"/>
      <c r="E112" s="286"/>
      <c r="F112" s="286"/>
      <c r="G112" s="286"/>
      <c r="H112" s="286"/>
      <c r="I112" s="286"/>
      <c r="J112" s="213"/>
      <c r="K112" s="257"/>
      <c r="L112" s="864" t="s">
        <v>347</v>
      </c>
      <c r="M112" s="865"/>
      <c r="N112" s="217">
        <f>SUM(N109:N111)</f>
        <v>0</v>
      </c>
    </row>
    <row r="113" spans="2:19" ht="27.75" customHeight="1">
      <c r="B113" s="258" t="s">
        <v>223</v>
      </c>
      <c r="C113" s="760" t="s">
        <v>243</v>
      </c>
      <c r="D113" s="760"/>
      <c r="E113" s="760"/>
      <c r="F113" s="760"/>
      <c r="G113" s="760"/>
      <c r="H113" s="760"/>
      <c r="I113" s="760"/>
      <c r="J113" s="287"/>
      <c r="K113" s="288"/>
      <c r="L113" s="289"/>
      <c r="M113" s="290"/>
      <c r="N113" s="291"/>
    </row>
    <row r="114" spans="2:19" ht="3.75" customHeight="1">
      <c r="B114" s="172"/>
      <c r="C114" s="286"/>
      <c r="D114" s="286"/>
      <c r="E114" s="286"/>
      <c r="F114" s="286"/>
      <c r="G114" s="286"/>
      <c r="H114" s="286"/>
      <c r="I114" s="286"/>
      <c r="J114" s="286"/>
      <c r="K114" s="292"/>
      <c r="L114" s="289"/>
      <c r="M114" s="290"/>
      <c r="N114" s="291"/>
    </row>
    <row r="115" spans="2:19" ht="16.5" thickBot="1">
      <c r="B115" s="98"/>
      <c r="C115" s="98"/>
      <c r="D115" s="98"/>
      <c r="E115" s="98"/>
      <c r="F115" s="98"/>
      <c r="G115" s="98"/>
      <c r="H115" s="98"/>
      <c r="I115" s="98"/>
      <c r="J115" s="256"/>
      <c r="K115" s="293"/>
      <c r="L115" s="293"/>
      <c r="M115" s="293"/>
      <c r="N115" s="293"/>
      <c r="P115" s="244"/>
    </row>
    <row r="116" spans="2:19" s="112" customFormat="1" ht="15" customHeight="1">
      <c r="B116" s="754" t="s">
        <v>384</v>
      </c>
      <c r="C116" s="755"/>
      <c r="D116" s="755"/>
      <c r="E116" s="755"/>
      <c r="F116" s="755"/>
      <c r="G116" s="755"/>
      <c r="H116" s="755"/>
      <c r="I116" s="756"/>
      <c r="J116" s="294"/>
      <c r="K116" s="723" t="s">
        <v>346</v>
      </c>
      <c r="L116" s="724"/>
      <c r="M116" s="724"/>
      <c r="N116" s="725"/>
    </row>
    <row r="117" spans="2:19" s="112" customFormat="1" ht="15.75" customHeight="1" thickBot="1">
      <c r="B117" s="757"/>
      <c r="C117" s="758"/>
      <c r="D117" s="758"/>
      <c r="E117" s="758"/>
      <c r="F117" s="758"/>
      <c r="G117" s="758"/>
      <c r="H117" s="758"/>
      <c r="I117" s="759"/>
      <c r="J117" s="294"/>
      <c r="K117" s="726"/>
      <c r="L117" s="727"/>
      <c r="M117" s="727"/>
      <c r="N117" s="728"/>
    </row>
    <row r="118" spans="2:19" s="182" customFormat="1" ht="44.25" customHeight="1" thickBot="1">
      <c r="B118" s="183" t="s">
        <v>0</v>
      </c>
      <c r="C118" s="183" t="s">
        <v>1</v>
      </c>
      <c r="D118" s="183" t="s">
        <v>233</v>
      </c>
      <c r="E118" s="183" t="s">
        <v>223</v>
      </c>
      <c r="F118" s="183" t="s">
        <v>4</v>
      </c>
      <c r="G118" s="183" t="s">
        <v>201</v>
      </c>
      <c r="H118" s="183" t="s">
        <v>200</v>
      </c>
      <c r="I118" s="184" t="s">
        <v>197</v>
      </c>
      <c r="J118" s="295"/>
      <c r="K118" s="296" t="s">
        <v>198</v>
      </c>
      <c r="L118" s="296" t="s">
        <v>221</v>
      </c>
      <c r="M118" s="296" t="s">
        <v>222</v>
      </c>
      <c r="N118" s="297" t="s">
        <v>199</v>
      </c>
      <c r="O118" s="187"/>
      <c r="P118" s="187"/>
      <c r="Q118" s="187"/>
      <c r="R118" s="187"/>
      <c r="S118" s="187"/>
    </row>
    <row r="119" spans="2:19">
      <c r="B119" s="188"/>
      <c r="C119" s="189"/>
      <c r="D119" s="234" t="s">
        <v>192</v>
      </c>
      <c r="E119" s="189"/>
      <c r="F119" s="193"/>
      <c r="G119" s="274"/>
      <c r="H119" s="193"/>
      <c r="I119" s="298" t="str">
        <f>IF(G119="","",VLOOKUP($D119,Equipment!$B$21:$E$31,2,FALSE))</f>
        <v/>
      </c>
      <c r="J119" s="299"/>
      <c r="K119" s="300" t="str">
        <f>IF(G119="","",VLOOKUP($D119,Equipment!$B$21:$E$31,4,FALSE))</f>
        <v/>
      </c>
      <c r="L119" s="301" t="str">
        <f>IF($G119="","",$H119*$K119)</f>
        <v/>
      </c>
      <c r="M119" s="302" t="str">
        <f>IF($G119="","",$I119*$G119*$F119)</f>
        <v/>
      </c>
      <c r="N119" s="200" t="str">
        <f>IF(I119="","",L119+M119)</f>
        <v/>
      </c>
    </row>
    <row r="120" spans="2:19" s="97" customFormat="1" ht="15" customHeight="1">
      <c r="B120" s="188"/>
      <c r="C120" s="189"/>
      <c r="D120" s="234" t="s">
        <v>192</v>
      </c>
      <c r="E120" s="189"/>
      <c r="F120" s="193"/>
      <c r="G120" s="274"/>
      <c r="H120" s="193"/>
      <c r="I120" s="298" t="str">
        <f>IF(G120="","",VLOOKUP($D120,Equipment!$B$21:$E$31,2,FALSE))</f>
        <v/>
      </c>
      <c r="J120" s="299"/>
      <c r="K120" s="300" t="str">
        <f>IF(G120="","",VLOOKUP($D120,Equipment!$B$21:$E$31,4,FALSE))</f>
        <v/>
      </c>
      <c r="L120" s="301" t="str">
        <f t="shared" ref="L120:L127" si="6">IF(G120="","",H120*K120)</f>
        <v/>
      </c>
      <c r="M120" s="303" t="str">
        <f t="shared" ref="M120:M127" si="7">IF($G120="","",$I120*$G120*$F120)</f>
        <v/>
      </c>
      <c r="N120" s="200" t="str">
        <f t="shared" ref="N120:N127" si="8">IF(I120="","",L120+M120)</f>
        <v/>
      </c>
    </row>
    <row r="121" spans="2:19" s="97" customFormat="1" ht="15.75" customHeight="1">
      <c r="B121" s="188"/>
      <c r="C121" s="189"/>
      <c r="D121" s="234" t="s">
        <v>192</v>
      </c>
      <c r="E121" s="189"/>
      <c r="F121" s="193"/>
      <c r="G121" s="274"/>
      <c r="H121" s="193"/>
      <c r="I121" s="298" t="str">
        <f>IF(G121="","",VLOOKUP($D121,Equipment!$B$21:$E$31,2,FALSE))</f>
        <v/>
      </c>
      <c r="J121" s="299"/>
      <c r="K121" s="300" t="str">
        <f>IF(G121="","",VLOOKUP($D121,Equipment!$B$21:$E$31,4,FALSE))</f>
        <v/>
      </c>
      <c r="L121" s="301" t="str">
        <f t="shared" si="6"/>
        <v/>
      </c>
      <c r="M121" s="303" t="str">
        <f t="shared" si="7"/>
        <v/>
      </c>
      <c r="N121" s="200" t="str">
        <f t="shared" si="8"/>
        <v/>
      </c>
    </row>
    <row r="122" spans="2:19">
      <c r="B122" s="188"/>
      <c r="C122" s="189"/>
      <c r="D122" s="234" t="s">
        <v>192</v>
      </c>
      <c r="E122" s="189"/>
      <c r="F122" s="193"/>
      <c r="G122" s="274"/>
      <c r="H122" s="193"/>
      <c r="I122" s="298" t="str">
        <f>IF(G122="","",VLOOKUP($D122,Equipment!$B$21:$E$31,2,FALSE))</f>
        <v/>
      </c>
      <c r="J122" s="299"/>
      <c r="K122" s="300" t="str">
        <f>IF(G122="","",VLOOKUP($D122,Equipment!$B$21:$E$31,4,FALSE))</f>
        <v/>
      </c>
      <c r="L122" s="301" t="str">
        <f t="shared" si="6"/>
        <v/>
      </c>
      <c r="M122" s="303" t="str">
        <f t="shared" si="7"/>
        <v/>
      </c>
      <c r="N122" s="200" t="str">
        <f t="shared" si="8"/>
        <v/>
      </c>
    </row>
    <row r="123" spans="2:19">
      <c r="B123" s="188"/>
      <c r="C123" s="189"/>
      <c r="D123" s="234" t="s">
        <v>192</v>
      </c>
      <c r="E123" s="189"/>
      <c r="F123" s="193"/>
      <c r="G123" s="274"/>
      <c r="H123" s="193"/>
      <c r="I123" s="298" t="str">
        <f>IF(G123="","",VLOOKUP($D123,Equipment!$B$21:$E$31,2,FALSE))</f>
        <v/>
      </c>
      <c r="J123" s="299"/>
      <c r="K123" s="300" t="str">
        <f>IF(G123="","",VLOOKUP($D123,Equipment!$B$21:$E$31,4,FALSE))</f>
        <v/>
      </c>
      <c r="L123" s="301" t="str">
        <f t="shared" si="6"/>
        <v/>
      </c>
      <c r="M123" s="303" t="str">
        <f t="shared" si="7"/>
        <v/>
      </c>
      <c r="N123" s="200" t="str">
        <f t="shared" si="8"/>
        <v/>
      </c>
    </row>
    <row r="124" spans="2:19">
      <c r="B124" s="188"/>
      <c r="C124" s="189"/>
      <c r="D124" s="234" t="s">
        <v>192</v>
      </c>
      <c r="E124" s="189"/>
      <c r="F124" s="193"/>
      <c r="G124" s="274"/>
      <c r="H124" s="193"/>
      <c r="I124" s="298" t="str">
        <f>IF(G124="","",VLOOKUP($D124,Equipment!$B$21:$E$31,2,FALSE))</f>
        <v/>
      </c>
      <c r="J124" s="299"/>
      <c r="K124" s="300" t="str">
        <f>IF(G124="","",VLOOKUP($D124,Equipment!$B$21:$E$31,4,FALSE))</f>
        <v/>
      </c>
      <c r="L124" s="301" t="str">
        <f t="shared" si="6"/>
        <v/>
      </c>
      <c r="M124" s="303" t="str">
        <f t="shared" si="7"/>
        <v/>
      </c>
      <c r="N124" s="200" t="str">
        <f t="shared" si="8"/>
        <v/>
      </c>
    </row>
    <row r="125" spans="2:19">
      <c r="B125" s="188"/>
      <c r="C125" s="189"/>
      <c r="D125" s="234" t="s">
        <v>192</v>
      </c>
      <c r="E125" s="189"/>
      <c r="F125" s="193"/>
      <c r="G125" s="274"/>
      <c r="H125" s="193"/>
      <c r="I125" s="298" t="str">
        <f>IF(G125="","",VLOOKUP($D125,Equipment!$B$21:$E$31,2,FALSE))</f>
        <v/>
      </c>
      <c r="J125" s="299"/>
      <c r="K125" s="300" t="str">
        <f>IF(G125="","",VLOOKUP($D125,Equipment!$B$21:$E$31,4,FALSE))</f>
        <v/>
      </c>
      <c r="L125" s="301" t="str">
        <f t="shared" si="6"/>
        <v/>
      </c>
      <c r="M125" s="303" t="str">
        <f t="shared" si="7"/>
        <v/>
      </c>
      <c r="N125" s="200" t="str">
        <f t="shared" si="8"/>
        <v/>
      </c>
    </row>
    <row r="126" spans="2:19">
      <c r="B126" s="188"/>
      <c r="C126" s="189"/>
      <c r="D126" s="234" t="s">
        <v>192</v>
      </c>
      <c r="E126" s="189"/>
      <c r="F126" s="193"/>
      <c r="G126" s="274"/>
      <c r="H126" s="193"/>
      <c r="I126" s="298" t="str">
        <f>IF(G126="","",VLOOKUP($D126,Equipment!$B$21:$E$31,2,FALSE))</f>
        <v/>
      </c>
      <c r="J126" s="299"/>
      <c r="K126" s="300" t="str">
        <f>IF(G126="","",VLOOKUP($D126,Equipment!$B$21:$E$31,4,FALSE))</f>
        <v/>
      </c>
      <c r="L126" s="301" t="str">
        <f t="shared" si="6"/>
        <v/>
      </c>
      <c r="M126" s="303" t="str">
        <f t="shared" si="7"/>
        <v/>
      </c>
      <c r="N126" s="200" t="str">
        <f t="shared" si="8"/>
        <v/>
      </c>
    </row>
    <row r="127" spans="2:19" ht="16.5" thickBot="1">
      <c r="B127" s="205"/>
      <c r="C127" s="206"/>
      <c r="D127" s="248" t="s">
        <v>192</v>
      </c>
      <c r="E127" s="206"/>
      <c r="F127" s="210"/>
      <c r="G127" s="281"/>
      <c r="H127" s="210"/>
      <c r="I127" s="304" t="str">
        <f>IF(G127="","",VLOOKUP($D127,Equipment!$B$21:$E$31,2,FALSE))</f>
        <v/>
      </c>
      <c r="J127" s="299"/>
      <c r="K127" s="305" t="str">
        <f>IF(G127="","",VLOOKUP($D127,Equipment!$B$21:$E$31,4,FALSE))</f>
        <v/>
      </c>
      <c r="L127" s="306" t="str">
        <f t="shared" si="6"/>
        <v/>
      </c>
      <c r="M127" s="307" t="str">
        <f t="shared" si="7"/>
        <v/>
      </c>
      <c r="N127" s="215" t="str">
        <f t="shared" si="8"/>
        <v/>
      </c>
    </row>
    <row r="128" spans="2:19" ht="16.5" thickBot="1">
      <c r="B128" s="308"/>
      <c r="C128" s="308"/>
      <c r="D128" s="308"/>
      <c r="E128" s="308"/>
      <c r="F128" s="299"/>
      <c r="G128" s="299"/>
      <c r="H128" s="299"/>
      <c r="I128" s="309"/>
      <c r="J128" s="299"/>
      <c r="K128" s="257"/>
      <c r="L128" s="866" t="s">
        <v>343</v>
      </c>
      <c r="M128" s="867"/>
      <c r="N128" s="310">
        <f>SUM(N119:N127)</f>
        <v>0</v>
      </c>
    </row>
    <row r="129" spans="2:19" ht="16.5" customHeight="1" thickBot="1">
      <c r="B129" s="308"/>
      <c r="C129" s="308"/>
      <c r="D129" s="705" t="s">
        <v>219</v>
      </c>
      <c r="E129" s="706"/>
      <c r="F129" s="546">
        <f>'MA CLAIM FORM'!F129</f>
        <v>1.39</v>
      </c>
      <c r="G129" s="299"/>
      <c r="H129" s="299"/>
      <c r="I129" s="309"/>
      <c r="J129" s="299"/>
      <c r="K129" s="257"/>
      <c r="L129" s="312"/>
      <c r="M129" s="313"/>
      <c r="N129" s="314"/>
    </row>
    <row r="130" spans="2:19" ht="16.5" customHeight="1" thickBot="1">
      <c r="B130" s="308"/>
      <c r="C130" s="308"/>
      <c r="D130" s="705" t="s">
        <v>220</v>
      </c>
      <c r="E130" s="706"/>
      <c r="F130" s="546">
        <f>'MA CLAIM FORM'!F130</f>
        <v>1.47</v>
      </c>
      <c r="G130" s="299"/>
      <c r="H130" s="299"/>
      <c r="I130" s="309"/>
      <c r="J130" s="299"/>
      <c r="K130" s="257"/>
      <c r="L130" s="312"/>
      <c r="M130" s="313"/>
      <c r="N130" s="315"/>
    </row>
    <row r="131" spans="2:19" ht="16.5" thickBot="1">
      <c r="B131" s="218"/>
      <c r="C131" s="218"/>
      <c r="D131" s="218"/>
      <c r="E131" s="218"/>
      <c r="F131" s="218"/>
      <c r="G131" s="218"/>
      <c r="H131" s="218"/>
      <c r="I131" s="219"/>
      <c r="J131" s="213"/>
      <c r="K131" s="316"/>
      <c r="L131" s="289"/>
      <c r="M131" s="290"/>
      <c r="N131" s="317"/>
    </row>
    <row r="132" spans="2:19" s="112" customFormat="1" ht="15" customHeight="1">
      <c r="B132" s="779" t="s">
        <v>345</v>
      </c>
      <c r="C132" s="780"/>
      <c r="D132" s="780"/>
      <c r="E132" s="780"/>
      <c r="F132" s="780"/>
      <c r="G132" s="780"/>
      <c r="H132" s="780"/>
      <c r="I132" s="781"/>
      <c r="J132" s="224"/>
      <c r="K132" s="723" t="s">
        <v>344</v>
      </c>
      <c r="L132" s="724"/>
      <c r="M132" s="724"/>
      <c r="N132" s="725"/>
    </row>
    <row r="133" spans="2:19" s="112" customFormat="1" ht="15.75" customHeight="1" thickBot="1">
      <c r="B133" s="782"/>
      <c r="C133" s="783"/>
      <c r="D133" s="783"/>
      <c r="E133" s="783"/>
      <c r="F133" s="783"/>
      <c r="G133" s="783"/>
      <c r="H133" s="783"/>
      <c r="I133" s="784"/>
      <c r="J133" s="224"/>
      <c r="K133" s="726"/>
      <c r="L133" s="727"/>
      <c r="M133" s="727"/>
      <c r="N133" s="728"/>
    </row>
    <row r="134" spans="2:19" s="182" customFormat="1" ht="44.25" customHeight="1" thickBot="1">
      <c r="B134" s="226" t="s">
        <v>0</v>
      </c>
      <c r="C134" s="226" t="s">
        <v>1</v>
      </c>
      <c r="D134" s="227" t="s">
        <v>259</v>
      </c>
      <c r="E134" s="742" t="s">
        <v>223</v>
      </c>
      <c r="F134" s="743"/>
      <c r="G134" s="743"/>
      <c r="H134" s="743"/>
      <c r="I134" s="744"/>
      <c r="J134" s="228"/>
      <c r="K134" s="318" t="s">
        <v>237</v>
      </c>
      <c r="L134" s="719"/>
      <c r="M134" s="720"/>
      <c r="N134" s="319" t="s">
        <v>238</v>
      </c>
      <c r="O134" s="187"/>
      <c r="P134" s="187"/>
      <c r="Q134" s="187"/>
      <c r="R134" s="187"/>
      <c r="S134" s="187"/>
    </row>
    <row r="135" spans="2:19">
      <c r="B135" s="263"/>
      <c r="C135" s="235"/>
      <c r="D135" s="264" t="s">
        <v>234</v>
      </c>
      <c r="E135" s="707"/>
      <c r="F135" s="708"/>
      <c r="G135" s="708"/>
      <c r="H135" s="708"/>
      <c r="I135" s="709"/>
      <c r="J135" s="299"/>
      <c r="K135" s="320"/>
      <c r="L135" s="270"/>
      <c r="M135" s="271"/>
      <c r="N135" s="321" t="str">
        <f>IF(K135="","",K135)</f>
        <v/>
      </c>
    </row>
    <row r="136" spans="2:19">
      <c r="B136" s="188"/>
      <c r="C136" s="189"/>
      <c r="D136" s="264" t="s">
        <v>234</v>
      </c>
      <c r="E136" s="739"/>
      <c r="F136" s="740"/>
      <c r="G136" s="740"/>
      <c r="H136" s="740"/>
      <c r="I136" s="741"/>
      <c r="J136" s="299"/>
      <c r="K136" s="323"/>
      <c r="L136" s="277"/>
      <c r="M136" s="278"/>
      <c r="N136" s="321" t="str">
        <f t="shared" ref="N136:N143" si="9">IF(K136="","",K136)</f>
        <v/>
      </c>
    </row>
    <row r="137" spans="2:19">
      <c r="B137" s="188"/>
      <c r="C137" s="189"/>
      <c r="D137" s="264" t="s">
        <v>234</v>
      </c>
      <c r="E137" s="739"/>
      <c r="F137" s="740"/>
      <c r="G137" s="740"/>
      <c r="H137" s="740"/>
      <c r="I137" s="741"/>
      <c r="J137" s="299"/>
      <c r="K137" s="323"/>
      <c r="L137" s="277"/>
      <c r="M137" s="278"/>
      <c r="N137" s="321" t="str">
        <f t="shared" si="9"/>
        <v/>
      </c>
    </row>
    <row r="138" spans="2:19">
      <c r="B138" s="188"/>
      <c r="C138" s="189"/>
      <c r="D138" s="264" t="s">
        <v>234</v>
      </c>
      <c r="E138" s="739"/>
      <c r="F138" s="740"/>
      <c r="G138" s="740"/>
      <c r="H138" s="740"/>
      <c r="I138" s="741"/>
      <c r="J138" s="299"/>
      <c r="K138" s="323"/>
      <c r="L138" s="277"/>
      <c r="M138" s="278"/>
      <c r="N138" s="321" t="str">
        <f t="shared" si="9"/>
        <v/>
      </c>
    </row>
    <row r="139" spans="2:19">
      <c r="B139" s="188"/>
      <c r="C139" s="189"/>
      <c r="D139" s="264" t="s">
        <v>234</v>
      </c>
      <c r="E139" s="739"/>
      <c r="F139" s="740"/>
      <c r="G139" s="740"/>
      <c r="H139" s="740"/>
      <c r="I139" s="741"/>
      <c r="J139" s="299"/>
      <c r="K139" s="323"/>
      <c r="L139" s="277"/>
      <c r="M139" s="278"/>
      <c r="N139" s="321" t="str">
        <f t="shared" si="9"/>
        <v/>
      </c>
    </row>
    <row r="140" spans="2:19">
      <c r="B140" s="188"/>
      <c r="C140" s="189"/>
      <c r="D140" s="264" t="s">
        <v>234</v>
      </c>
      <c r="E140" s="739"/>
      <c r="F140" s="740"/>
      <c r="G140" s="740"/>
      <c r="H140" s="740"/>
      <c r="I140" s="741"/>
      <c r="J140" s="299"/>
      <c r="K140" s="323"/>
      <c r="L140" s="277"/>
      <c r="M140" s="278"/>
      <c r="N140" s="321" t="str">
        <f t="shared" si="9"/>
        <v/>
      </c>
    </row>
    <row r="141" spans="2:19">
      <c r="B141" s="188"/>
      <c r="C141" s="189"/>
      <c r="D141" s="264" t="s">
        <v>234</v>
      </c>
      <c r="E141" s="739"/>
      <c r="F141" s="740"/>
      <c r="G141" s="740"/>
      <c r="H141" s="740"/>
      <c r="I141" s="741"/>
      <c r="J141" s="299"/>
      <c r="K141" s="323"/>
      <c r="L141" s="277"/>
      <c r="M141" s="278"/>
      <c r="N141" s="321" t="str">
        <f t="shared" si="9"/>
        <v/>
      </c>
    </row>
    <row r="142" spans="2:19">
      <c r="B142" s="188"/>
      <c r="C142" s="189"/>
      <c r="D142" s="264" t="s">
        <v>234</v>
      </c>
      <c r="E142" s="739"/>
      <c r="F142" s="740"/>
      <c r="G142" s="740"/>
      <c r="H142" s="740"/>
      <c r="I142" s="741"/>
      <c r="J142" s="299"/>
      <c r="K142" s="323"/>
      <c r="L142" s="277"/>
      <c r="M142" s="278"/>
      <c r="N142" s="321" t="str">
        <f t="shared" si="9"/>
        <v/>
      </c>
    </row>
    <row r="143" spans="2:19" ht="16.5" thickBot="1">
      <c r="B143" s="205"/>
      <c r="C143" s="206"/>
      <c r="D143" s="324" t="s">
        <v>234</v>
      </c>
      <c r="E143" s="837"/>
      <c r="F143" s="838"/>
      <c r="G143" s="838"/>
      <c r="H143" s="838"/>
      <c r="I143" s="839"/>
      <c r="J143" s="299"/>
      <c r="K143" s="326"/>
      <c r="L143" s="284"/>
      <c r="M143" s="285"/>
      <c r="N143" s="327" t="str">
        <f t="shared" si="9"/>
        <v/>
      </c>
    </row>
    <row r="144" spans="2:19" ht="23.25" customHeight="1" thickBot="1">
      <c r="B144" s="547"/>
      <c r="C144" s="328"/>
      <c r="D144" s="328"/>
      <c r="E144" s="328"/>
      <c r="F144" s="328"/>
      <c r="G144" s="328"/>
      <c r="H144" s="328"/>
      <c r="I144" s="328"/>
      <c r="J144" s="299"/>
      <c r="K144" s="257"/>
      <c r="L144" s="857" t="s">
        <v>342</v>
      </c>
      <c r="M144" s="858"/>
      <c r="N144" s="310">
        <f>SUM(N135:N143)</f>
        <v>0</v>
      </c>
    </row>
    <row r="145" spans="2:14" ht="16.5" thickBot="1">
      <c r="B145" s="255"/>
      <c r="C145" s="255"/>
      <c r="D145" s="255"/>
      <c r="E145" s="255"/>
      <c r="F145" s="255"/>
      <c r="G145" s="255"/>
      <c r="H145" s="255"/>
      <c r="I145" s="255"/>
      <c r="J145" s="213"/>
      <c r="K145" s="259"/>
      <c r="L145" s="259"/>
      <c r="M145" s="259"/>
      <c r="N145" s="259"/>
    </row>
    <row r="146" spans="2:14" ht="15.75" customHeight="1">
      <c r="B146" s="329" t="s">
        <v>138</v>
      </c>
      <c r="C146" s="133"/>
      <c r="D146" s="133"/>
      <c r="E146" s="133"/>
      <c r="F146" s="133"/>
      <c r="G146" s="286"/>
      <c r="H146" s="286"/>
      <c r="I146" s="286"/>
      <c r="J146" s="859" t="s">
        <v>352</v>
      </c>
      <c r="K146" s="860"/>
      <c r="L146" s="860"/>
      <c r="M146" s="860"/>
      <c r="N146" s="861"/>
    </row>
    <row r="147" spans="2:14" ht="15.75" customHeight="1">
      <c r="B147" s="136"/>
      <c r="C147" s="98"/>
      <c r="D147" s="98"/>
      <c r="E147" s="98"/>
      <c r="F147" s="98"/>
      <c r="G147" s="286"/>
      <c r="H147" s="286"/>
      <c r="I147" s="286"/>
      <c r="J147" s="862"/>
      <c r="K147" s="786"/>
      <c r="L147" s="786"/>
      <c r="M147" s="786"/>
      <c r="N147" s="863"/>
    </row>
    <row r="148" spans="2:14">
      <c r="B148" s="136" t="s">
        <v>100</v>
      </c>
      <c r="C148" s="98"/>
      <c r="D148" s="673">
        <f>IF(D28="","",D28)</f>
        <v>0</v>
      </c>
      <c r="E148" s="674" t="e">
        <f>IF(#REF!="","",#REF!*#REF!*B148)</f>
        <v>#REF!</v>
      </c>
      <c r="F148" s="675" t="e">
        <f>IF(#REF!="","",B148*#REF!*C148)</f>
        <v>#REF!</v>
      </c>
      <c r="J148" s="785" t="s">
        <v>313</v>
      </c>
      <c r="K148" s="786"/>
      <c r="L148" s="786"/>
      <c r="M148" s="847">
        <f>N89</f>
        <v>0</v>
      </c>
      <c r="N148" s="848"/>
    </row>
    <row r="149" spans="2:14">
      <c r="B149" s="136"/>
      <c r="C149" s="98"/>
      <c r="D149" s="137"/>
      <c r="E149" s="137"/>
      <c r="F149" s="137"/>
      <c r="J149" s="862"/>
      <c r="K149" s="786"/>
      <c r="L149" s="786"/>
      <c r="M149" s="847"/>
      <c r="N149" s="848"/>
    </row>
    <row r="150" spans="2:14">
      <c r="B150" s="136" t="s">
        <v>101</v>
      </c>
      <c r="C150" s="98"/>
      <c r="D150" s="673">
        <f>IF(D30="","",D30)</f>
        <v>0</v>
      </c>
      <c r="E150" s="674" t="e">
        <f>IF(#REF!="","",#REF!*#REF!*B150)</f>
        <v>#REF!</v>
      </c>
      <c r="F150" s="675" t="e">
        <f>IF(#REF!="","",B150*#REF!*C150)</f>
        <v>#REF!</v>
      </c>
      <c r="J150" s="785" t="s">
        <v>355</v>
      </c>
      <c r="K150" s="786"/>
      <c r="L150" s="786"/>
      <c r="M150" s="847">
        <f>O103</f>
        <v>0</v>
      </c>
      <c r="N150" s="848"/>
    </row>
    <row r="151" spans="2:14" ht="15" customHeight="1">
      <c r="B151" s="136"/>
      <c r="C151" s="98"/>
      <c r="D151" s="137"/>
      <c r="E151" s="137"/>
      <c r="F151" s="137"/>
      <c r="J151" s="785" t="s">
        <v>356</v>
      </c>
      <c r="K151" s="786"/>
      <c r="L151" s="786"/>
      <c r="M151" s="847">
        <f>N128</f>
        <v>0</v>
      </c>
      <c r="N151" s="848"/>
    </row>
    <row r="152" spans="2:14" ht="15.75" customHeight="1">
      <c r="B152" s="136" t="s">
        <v>137</v>
      </c>
      <c r="C152" s="98"/>
      <c r="D152" s="673">
        <f>IF(D32="","",D32)</f>
        <v>0</v>
      </c>
      <c r="E152" s="674" t="e">
        <f>IF(#REF!="","",#REF!*#REF!*B152)</f>
        <v>#REF!</v>
      </c>
      <c r="F152" s="675" t="e">
        <f>IF(#REF!="","",B152*#REF!*C152)</f>
        <v>#REF!</v>
      </c>
      <c r="J152" s="785" t="s">
        <v>341</v>
      </c>
      <c r="K152" s="786"/>
      <c r="L152" s="786"/>
      <c r="M152" s="847">
        <f>N144</f>
        <v>0</v>
      </c>
      <c r="N152" s="848"/>
    </row>
    <row r="153" spans="2:14" ht="16.5" thickBot="1">
      <c r="B153" s="136"/>
      <c r="C153" s="98"/>
      <c r="D153" s="137"/>
      <c r="E153" s="137"/>
      <c r="F153" s="137"/>
      <c r="J153" s="785" t="s">
        <v>357</v>
      </c>
      <c r="K153" s="786"/>
      <c r="L153" s="786"/>
      <c r="M153" s="847">
        <f>N112</f>
        <v>0</v>
      </c>
      <c r="N153" s="848"/>
    </row>
    <row r="154" spans="2:14" ht="16.5" customHeight="1">
      <c r="B154" s="332" t="s">
        <v>374</v>
      </c>
      <c r="D154" s="806"/>
      <c r="E154" s="807"/>
      <c r="F154" s="807"/>
      <c r="G154" s="807"/>
      <c r="H154" s="808"/>
      <c r="J154" s="855"/>
      <c r="K154" s="856"/>
      <c r="L154" s="856"/>
      <c r="M154" s="849"/>
      <c r="N154" s="850"/>
    </row>
    <row r="155" spans="2:14">
      <c r="D155" s="809"/>
      <c r="E155" s="810"/>
      <c r="F155" s="810"/>
      <c r="G155" s="810"/>
      <c r="H155" s="811"/>
      <c r="J155" s="855"/>
      <c r="K155" s="856"/>
      <c r="L155" s="856"/>
      <c r="M155" s="849"/>
      <c r="N155" s="850"/>
    </row>
    <row r="156" spans="2:14" ht="18.75" customHeight="1" thickBot="1">
      <c r="D156" s="809"/>
      <c r="E156" s="810"/>
      <c r="F156" s="810"/>
      <c r="G156" s="810"/>
      <c r="H156" s="811"/>
      <c r="J156" s="853" t="s">
        <v>353</v>
      </c>
      <c r="K156" s="854"/>
      <c r="L156" s="854"/>
      <c r="M156" s="851">
        <f>SUM(M148:N155)</f>
        <v>0</v>
      </c>
      <c r="N156" s="852"/>
    </row>
    <row r="157" spans="2:14" ht="16.5" thickBot="1">
      <c r="D157" s="812"/>
      <c r="E157" s="813"/>
      <c r="F157" s="813"/>
      <c r="G157" s="813"/>
      <c r="H157" s="814"/>
      <c r="K157" s="98"/>
      <c r="L157" s="98"/>
      <c r="M157" s="98"/>
      <c r="N157" s="98"/>
    </row>
    <row r="158" spans="2:14" ht="16.5" thickBot="1">
      <c r="B158" s="106"/>
    </row>
    <row r="159" spans="2:14" ht="15" customHeight="1" thickBot="1">
      <c r="B159" s="840" t="str">
        <f>'MA CLAIM FORM'!B159:N159</f>
        <v>USER NOTES:</v>
      </c>
      <c r="C159" s="841"/>
      <c r="D159" s="841"/>
      <c r="E159" s="841"/>
      <c r="F159" s="841"/>
      <c r="G159" s="841"/>
      <c r="H159" s="841"/>
      <c r="I159" s="841"/>
      <c r="J159" s="841"/>
      <c r="K159" s="841"/>
      <c r="L159" s="841"/>
      <c r="M159" s="841"/>
      <c r="N159" s="842"/>
    </row>
    <row r="160" spans="2:14" ht="15.75" customHeight="1" thickBot="1">
      <c r="B160" s="840" t="str">
        <f>'MA CLAIM FORM'!B160:N160</f>
        <v xml:space="preserve">1.THIS CLAIM FORM  SHOULD BE USED IN CONJUNCTION WITH THE NPCC GUIDANCE: CHARGING FOR POLICE SERVICES: MUTUAL AID COST RECOVERY.  </v>
      </c>
      <c r="C160" s="841"/>
      <c r="D160" s="841"/>
      <c r="E160" s="841"/>
      <c r="F160" s="841"/>
      <c r="G160" s="841"/>
      <c r="H160" s="841"/>
      <c r="I160" s="841"/>
      <c r="J160" s="841"/>
      <c r="K160" s="841"/>
      <c r="L160" s="841"/>
      <c r="M160" s="841"/>
      <c r="N160" s="842"/>
    </row>
    <row r="161" spans="2:14" ht="15" customHeight="1" thickBot="1">
      <c r="B161" s="840" t="str">
        <f>'MA CLAIM FORM'!B161:N161</f>
        <v>2.THIS FORM AND THE GUIDANCE WILL BE  UPDATED ANNUALLY WITH NEW CHARGING RATES AND ANY REGULATION OR GUIDANCE CHANGES.</v>
      </c>
      <c r="C161" s="841"/>
      <c r="D161" s="841"/>
      <c r="E161" s="841"/>
      <c r="F161" s="841"/>
      <c r="G161" s="841"/>
      <c r="H161" s="841"/>
      <c r="I161" s="841"/>
      <c r="J161" s="841"/>
      <c r="K161" s="841"/>
      <c r="L161" s="841"/>
      <c r="M161" s="841"/>
      <c r="N161" s="842"/>
    </row>
    <row r="162" spans="2:14" ht="15" customHeight="1" thickBot="1">
      <c r="B162" s="840" t="str">
        <f>'MA CLAIM FORM'!B162:N162</f>
        <v>3. IF DEPLOYMENT CROSSES MAR/APR DATE BOUNDARY THEN A SEPARATE FORM FOR EACH FINANCIAL YEAR SHOULD BE USED (DUE TO RATE CHANGES)</v>
      </c>
      <c r="C162" s="841"/>
      <c r="D162" s="841"/>
      <c r="E162" s="841"/>
      <c r="F162" s="841"/>
      <c r="G162" s="841"/>
      <c r="H162" s="841"/>
      <c r="I162" s="841"/>
      <c r="J162" s="841"/>
      <c r="K162" s="841"/>
      <c r="L162" s="841"/>
      <c r="M162" s="841"/>
      <c r="N162" s="842"/>
    </row>
    <row r="163" spans="2:14" ht="15" customHeight="1">
      <c r="B163" s="840" t="str">
        <f>'MA CLAIM FORM'!B163:N163</f>
        <v xml:space="preserve">4. ONLY ONE CLAIM FORM SHOULD BE USED PER FORCE, EXCEPT WHERE FORM CAPACITY EXCEEDED OR CLAIM SPANS MULTIPLE FINANCIAL YEARS. </v>
      </c>
      <c r="C163" s="841"/>
      <c r="D163" s="841"/>
      <c r="E163" s="841"/>
      <c r="F163" s="841"/>
      <c r="G163" s="841"/>
      <c r="H163" s="841"/>
      <c r="I163" s="841"/>
      <c r="J163" s="841"/>
      <c r="K163" s="841"/>
      <c r="L163" s="841"/>
      <c r="M163" s="841"/>
      <c r="N163" s="842"/>
    </row>
    <row r="164" spans="2:14" ht="16.5" thickBot="1"/>
    <row r="165" spans="2:14" ht="15" customHeight="1">
      <c r="B165" s="333" t="s">
        <v>249</v>
      </c>
      <c r="C165" s="334"/>
      <c r="D165" s="334"/>
      <c r="E165" s="335"/>
      <c r="G165" s="828" t="s">
        <v>247</v>
      </c>
      <c r="H165" s="829"/>
      <c r="I165" s="829"/>
      <c r="J165" s="829"/>
      <c r="K165" s="829"/>
      <c r="L165" s="829"/>
      <c r="M165" s="829"/>
      <c r="N165" s="830"/>
    </row>
    <row r="166" spans="2:14" ht="15" customHeight="1">
      <c r="B166" s="336"/>
      <c r="C166" s="803" t="str">
        <f>'MA CLAIM FORM'!C166</f>
        <v>Drop down list available</v>
      </c>
      <c r="D166" s="804"/>
      <c r="E166" s="805"/>
      <c r="G166" s="831"/>
      <c r="H166" s="832"/>
      <c r="I166" s="832"/>
      <c r="J166" s="832"/>
      <c r="K166" s="832"/>
      <c r="L166" s="832"/>
      <c r="M166" s="832"/>
      <c r="N166" s="833"/>
    </row>
    <row r="167" spans="2:14" ht="15" customHeight="1">
      <c r="B167" s="337"/>
      <c r="C167" s="803" t="str">
        <f>'MA CLAIM FORM'!C167</f>
        <v>Values must be entered to enable calculations</v>
      </c>
      <c r="D167" s="804"/>
      <c r="E167" s="805"/>
      <c r="G167" s="831"/>
      <c r="H167" s="832"/>
      <c r="I167" s="832"/>
      <c r="J167" s="832"/>
      <c r="K167" s="832"/>
      <c r="L167" s="832"/>
      <c r="M167" s="832"/>
      <c r="N167" s="833"/>
    </row>
    <row r="168" spans="2:14" ht="15" customHeight="1">
      <c r="B168" s="338" t="s">
        <v>306</v>
      </c>
      <c r="C168" s="803" t="str">
        <f>'MA CLAIM FORM'!C168</f>
        <v>Calculations automatically completed</v>
      </c>
      <c r="D168" s="804"/>
      <c r="E168" s="805"/>
      <c r="G168" s="831"/>
      <c r="H168" s="832"/>
      <c r="I168" s="832"/>
      <c r="J168" s="832"/>
      <c r="K168" s="832"/>
      <c r="L168" s="832"/>
      <c r="M168" s="832"/>
      <c r="N168" s="833"/>
    </row>
    <row r="169" spans="2:14" ht="15.75" customHeight="1">
      <c r="B169" s="339"/>
      <c r="C169" s="803" t="str">
        <f>'MA CLAIM FORM'!C169</f>
        <v>Value either calculated or can be overwritten</v>
      </c>
      <c r="D169" s="804"/>
      <c r="E169" s="805"/>
      <c r="G169" s="831"/>
      <c r="H169" s="832"/>
      <c r="I169" s="832"/>
      <c r="J169" s="832"/>
      <c r="K169" s="832"/>
      <c r="L169" s="832"/>
      <c r="M169" s="832"/>
      <c r="N169" s="833"/>
    </row>
    <row r="170" spans="2:14" ht="16.5" thickBot="1">
      <c r="B170" s="340"/>
      <c r="C170" s="825" t="str">
        <f>'MA CLAIM FORM'!C170</f>
        <v>Free text fields for notes/references</v>
      </c>
      <c r="D170" s="826"/>
      <c r="E170" s="827"/>
      <c r="G170" s="834"/>
      <c r="H170" s="835"/>
      <c r="I170" s="835"/>
      <c r="J170" s="835"/>
      <c r="K170" s="835"/>
      <c r="L170" s="835"/>
      <c r="M170" s="835"/>
      <c r="N170" s="836"/>
    </row>
    <row r="171" spans="2:14" ht="14.25" customHeight="1">
      <c r="C171" s="341"/>
    </row>
  </sheetData>
  <sheetProtection algorithmName="SHA-512" hashValue="Moa09YCeA/8R0L5AAPHH0SvEiFPyBzVjJqu/tbXIxuOI9u67oMpVjzDteupxvXTVt/lQ8fQmsk2b49Gkm43eMw==" saltValue="XGOQ7VTTv+X8fLEiIQ9nxg==" spinCount="100000" sheet="1" selectLockedCells="1"/>
  <protectedRanges>
    <protectedRange password="C534" sqref="D89:J89 J62:J88 D61:D88 G80:I88" name="Input_Personnel_3"/>
    <protectedRange sqref="L23" name="start date"/>
    <protectedRange sqref="N23 I24:I25" name="end date"/>
    <protectedRange sqref="H43:H44 H40 G38:H39 B41:B42" name="Mutual aid Grade_1"/>
    <protectedRange sqref="B51 G52 H55:H57 G50:H50 B53:B54" name="Mutual aid Grade_4"/>
    <protectedRange password="C534" sqref="G61:I79" name="Input_Personnel_3_1"/>
    <protectedRange password="C534" sqref="E61:F88" name="Input_Personnel_3_2"/>
  </protectedRanges>
  <mergeCells count="95">
    <mergeCell ref="B21:E21"/>
    <mergeCell ref="I21:N21"/>
    <mergeCell ref="B7:D11"/>
    <mergeCell ref="L7:N11"/>
    <mergeCell ref="I17:N17"/>
    <mergeCell ref="I19:N19"/>
    <mergeCell ref="E5:K12"/>
    <mergeCell ref="E23:H25"/>
    <mergeCell ref="H26:N26"/>
    <mergeCell ref="D28:F28"/>
    <mergeCell ref="J28:N28"/>
    <mergeCell ref="D30:F30"/>
    <mergeCell ref="J30:N30"/>
    <mergeCell ref="D32:F32"/>
    <mergeCell ref="J32:N32"/>
    <mergeCell ref="D34:F34"/>
    <mergeCell ref="B38:F38"/>
    <mergeCell ref="B41:D41"/>
    <mergeCell ref="E41:G41"/>
    <mergeCell ref="I41:N41"/>
    <mergeCell ref="L103:N103"/>
    <mergeCell ref="B91:I92"/>
    <mergeCell ref="B44:G46"/>
    <mergeCell ref="I44:N46"/>
    <mergeCell ref="B50:F50"/>
    <mergeCell ref="B51:E51"/>
    <mergeCell ref="H51:N51"/>
    <mergeCell ref="B53:E53"/>
    <mergeCell ref="H53:N53"/>
    <mergeCell ref="H54:N54"/>
    <mergeCell ref="K58:N59"/>
    <mergeCell ref="L89:M89"/>
    <mergeCell ref="B58:D59"/>
    <mergeCell ref="E58:I59"/>
    <mergeCell ref="K91:O92"/>
    <mergeCell ref="D129:E129"/>
    <mergeCell ref="C104:I105"/>
    <mergeCell ref="B106:I107"/>
    <mergeCell ref="K106:N107"/>
    <mergeCell ref="E108:F108"/>
    <mergeCell ref="L108:M108"/>
    <mergeCell ref="L112:M112"/>
    <mergeCell ref="C113:I113"/>
    <mergeCell ref="B116:I117"/>
    <mergeCell ref="K116:N117"/>
    <mergeCell ref="L128:M128"/>
    <mergeCell ref="E141:I141"/>
    <mergeCell ref="D130:E130"/>
    <mergeCell ref="B132:I133"/>
    <mergeCell ref="K132:N133"/>
    <mergeCell ref="E134:I134"/>
    <mergeCell ref="L134:M134"/>
    <mergeCell ref="E135:I135"/>
    <mergeCell ref="E136:I136"/>
    <mergeCell ref="E137:I137"/>
    <mergeCell ref="E138:I138"/>
    <mergeCell ref="E139:I139"/>
    <mergeCell ref="E140:I140"/>
    <mergeCell ref="M151:N151"/>
    <mergeCell ref="E142:I142"/>
    <mergeCell ref="E143:I143"/>
    <mergeCell ref="L144:M144"/>
    <mergeCell ref="D148:F148"/>
    <mergeCell ref="M148:N148"/>
    <mergeCell ref="M149:N149"/>
    <mergeCell ref="D150:F150"/>
    <mergeCell ref="M150:N150"/>
    <mergeCell ref="J146:N147"/>
    <mergeCell ref="J148:L148"/>
    <mergeCell ref="J149:L149"/>
    <mergeCell ref="J150:L150"/>
    <mergeCell ref="J151:L151"/>
    <mergeCell ref="B160:N160"/>
    <mergeCell ref="D152:F152"/>
    <mergeCell ref="M152:N152"/>
    <mergeCell ref="M153:N153"/>
    <mergeCell ref="M154:N154"/>
    <mergeCell ref="M155:N155"/>
    <mergeCell ref="M156:N156"/>
    <mergeCell ref="B159:N159"/>
    <mergeCell ref="J156:L156"/>
    <mergeCell ref="J154:L154"/>
    <mergeCell ref="J155:L155"/>
    <mergeCell ref="J152:L152"/>
    <mergeCell ref="J153:L153"/>
    <mergeCell ref="D154:H157"/>
    <mergeCell ref="C170:E170"/>
    <mergeCell ref="G165:N170"/>
    <mergeCell ref="B161:N161"/>
    <mergeCell ref="B162:N162"/>
    <mergeCell ref="B163:N163"/>
    <mergeCell ref="C169:E169"/>
    <mergeCell ref="C166:E166"/>
    <mergeCell ref="C167:E167"/>
    <mergeCell ref="C168:E168"/>
  </mergeCells>
  <conditionalFormatting sqref="E58:I59">
    <cfRule type="expression" dxfId="0" priority="1">
      <formula>$B$21="UKFPU"</formula>
    </cfRule>
  </conditionalFormatting>
  <dataValidations count="14">
    <dataValidation type="list" allowBlank="1" showInputMessage="1" showErrorMessage="1" sqref="D61:D88">
      <formula1>Rank</formula1>
    </dataValidation>
    <dataValidation type="list" allowBlank="1" showInputMessage="1" showErrorMessage="1" sqref="B21:B22 B5:B6 I21:I22">
      <formula1>Force</formula1>
    </dataValidation>
    <dataValidation type="list" allowBlank="1" showInputMessage="1" showErrorMessage="1" sqref="B41:D41 F61:F88">
      <formula1>MAG</formula1>
    </dataValidation>
    <dataValidation type="list" allowBlank="1" showInputMessage="1" showErrorMessage="1" sqref="D109:D111">
      <formula1>Equip</formula1>
    </dataValidation>
    <dataValidation type="list" allowBlank="1" showInputMessage="1" showErrorMessage="1" sqref="D135:D143">
      <formula1>Consume</formula1>
    </dataValidation>
    <dataValidation type="list" allowBlank="1" showInputMessage="1" showErrorMessage="1" sqref="F89">
      <formula1>RESOURCES</formula1>
    </dataValidation>
    <dataValidation type="list" allowBlank="1" showInputMessage="1" showErrorMessage="1" sqref="D94:D102">
      <formula1>Allow</formula1>
    </dataValidation>
    <dataValidation type="list" allowBlank="1" showInputMessage="1" showErrorMessage="1" sqref="D119:D127">
      <formula1>Vehicle</formula1>
    </dataValidation>
    <dataValidation type="list" allowBlank="1" showInputMessage="1" showErrorMessage="1" sqref="F131 F128 F90">
      <formula1>vehiclet</formula1>
    </dataValidation>
    <dataValidation type="list" allowBlank="1" showInputMessage="1" showErrorMessage="1" sqref="F103 F144">
      <formula1>allowt</formula1>
    </dataValidation>
    <dataValidation type="list" allowBlank="1" showInputMessage="1" showErrorMessage="1" sqref="E89">
      <formula1>ranksandg</formula1>
    </dataValidation>
    <dataValidation type="list" allowBlank="1" showInputMessage="1" showErrorMessage="1" sqref="B51">
      <formula1>YesNo</formula1>
    </dataValidation>
    <dataValidation type="list" allowBlank="1" showInputMessage="1" showErrorMessage="1" sqref="B53:B54">
      <formula1>deploy</formula1>
    </dataValidation>
    <dataValidation type="list" allowBlank="1" showInputMessage="1" showErrorMessage="1" promptTitle="Mutual Aid Grade" prompt="Select appropriate Mutual Aid Grade" sqref="B42">
      <formula1>MAG</formula1>
    </dataValidation>
  </dataValidations>
  <pageMargins left="0.35433070866141736" right="0.23622047244094491" top="0.39370078740157483" bottom="0.39370078740157483" header="0.19685039370078741" footer="0.31496062992125984"/>
  <pageSetup paperSize="9" scale="56" fitToHeight="2" orientation="portrait" horizontalDpi="300" verticalDpi="300" r:id="rId1"/>
  <headerFooter>
    <oddFooter>&amp;L&amp;8&amp;F&amp;R&amp;8&amp;P</oddFooter>
  </headerFooter>
  <rowBreaks count="1" manualBreakCount="1">
    <brk id="89" min="1" max="13" man="1"/>
  </rowBreaks>
  <ignoredErrors>
    <ignoredError sqref="L61:L88"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Y156"/>
  <sheetViews>
    <sheetView showGridLines="0" zoomScaleNormal="100" workbookViewId="0">
      <selection activeCell="B71" sqref="B71"/>
    </sheetView>
  </sheetViews>
  <sheetFormatPr defaultColWidth="8.88671875" defaultRowHeight="15.75"/>
  <cols>
    <col min="1" max="1" width="2.6640625" style="98" customWidth="1"/>
    <col min="2" max="2" width="8.88671875" style="98"/>
    <col min="3" max="3" width="10" style="98" customWidth="1"/>
    <col min="4" max="4" width="20" style="98" customWidth="1"/>
    <col min="5" max="5" width="21.109375" style="98" customWidth="1"/>
    <col min="6" max="6" width="16.6640625" style="98" customWidth="1"/>
    <col min="7" max="7" width="8.88671875" style="98" customWidth="1"/>
    <col min="8" max="8" width="8.109375" style="98" customWidth="1"/>
    <col min="9" max="9" width="9.6640625" style="98" customWidth="1"/>
    <col min="10" max="10" width="4.77734375" style="98" customWidth="1"/>
    <col min="11" max="13" width="11" style="98" customWidth="1"/>
    <col min="14" max="14" width="11.5546875" style="98" customWidth="1"/>
    <col min="15" max="16384" width="8.88671875" style="98"/>
  </cols>
  <sheetData>
    <row r="1" spans="2:18" ht="16.5" thickBot="1">
      <c r="O1" s="94"/>
    </row>
    <row r="2" spans="2:18" ht="15" customHeight="1">
      <c r="B2" s="535"/>
      <c r="C2" s="334"/>
      <c r="D2" s="334"/>
      <c r="E2" s="334"/>
      <c r="F2" s="334"/>
      <c r="G2" s="334"/>
      <c r="H2" s="334"/>
      <c r="I2" s="334"/>
      <c r="J2" s="334"/>
      <c r="K2" s="334"/>
      <c r="L2" s="334"/>
      <c r="M2" s="334"/>
      <c r="N2" s="335"/>
      <c r="O2" s="94"/>
      <c r="P2" s="97"/>
    </row>
    <row r="3" spans="2:18" ht="15" customHeight="1">
      <c r="B3" s="330"/>
      <c r="C3" s="102"/>
      <c r="D3" s="102"/>
      <c r="E3" s="102"/>
      <c r="F3" s="102"/>
      <c r="G3" s="102"/>
      <c r="H3" s="102"/>
      <c r="I3" s="102"/>
      <c r="J3" s="102"/>
      <c r="K3" s="102"/>
      <c r="L3" s="102"/>
      <c r="M3" s="102"/>
      <c r="N3" s="331"/>
      <c r="O3" s="94"/>
      <c r="P3" s="97"/>
    </row>
    <row r="4" spans="2:18" ht="15" customHeight="1">
      <c r="B4" s="330"/>
      <c r="C4" s="102"/>
      <c r="D4" s="102"/>
      <c r="E4" s="102"/>
      <c r="F4" s="102"/>
      <c r="G4" s="102"/>
      <c r="H4" s="102"/>
      <c r="I4" s="102"/>
      <c r="J4" s="102"/>
      <c r="K4" s="102"/>
      <c r="L4" s="102"/>
      <c r="M4" s="102"/>
      <c r="N4" s="331"/>
      <c r="O4" s="94"/>
      <c r="P4" s="97"/>
    </row>
    <row r="5" spans="2:18" ht="15" customHeight="1">
      <c r="B5" s="100"/>
      <c r="C5" s="101"/>
      <c r="D5" s="101"/>
      <c r="E5" s="676" t="s">
        <v>542</v>
      </c>
      <c r="F5" s="677"/>
      <c r="G5" s="677"/>
      <c r="H5" s="677"/>
      <c r="I5" s="677"/>
      <c r="J5" s="677"/>
      <c r="K5" s="677"/>
      <c r="L5" s="101"/>
      <c r="M5" s="101"/>
      <c r="N5" s="103"/>
      <c r="O5" s="94"/>
      <c r="P5" s="97"/>
    </row>
    <row r="6" spans="2:18" ht="15" customHeight="1">
      <c r="B6" s="100"/>
      <c r="C6" s="101"/>
      <c r="D6" s="101"/>
      <c r="E6" s="677"/>
      <c r="F6" s="677"/>
      <c r="G6" s="677"/>
      <c r="H6" s="677"/>
      <c r="I6" s="677"/>
      <c r="J6" s="677"/>
      <c r="K6" s="677"/>
      <c r="L6" s="101"/>
      <c r="M6" s="101"/>
      <c r="N6" s="103"/>
      <c r="O6" s="94"/>
      <c r="P6" s="97"/>
    </row>
    <row r="7" spans="2:18" ht="15" customHeight="1">
      <c r="B7" s="679"/>
      <c r="C7" s="680"/>
      <c r="D7" s="680"/>
      <c r="E7" s="677"/>
      <c r="F7" s="677"/>
      <c r="G7" s="677"/>
      <c r="H7" s="677"/>
      <c r="I7" s="677"/>
      <c r="J7" s="677"/>
      <c r="K7" s="677"/>
      <c r="L7" s="681"/>
      <c r="M7" s="681"/>
      <c r="N7" s="958"/>
      <c r="O7" s="94"/>
      <c r="P7" s="97"/>
    </row>
    <row r="8" spans="2:18" ht="15" customHeight="1">
      <c r="B8" s="679"/>
      <c r="C8" s="680"/>
      <c r="D8" s="680"/>
      <c r="E8" s="677"/>
      <c r="F8" s="677"/>
      <c r="G8" s="677"/>
      <c r="H8" s="677"/>
      <c r="I8" s="677"/>
      <c r="J8" s="677"/>
      <c r="K8" s="677"/>
      <c r="L8" s="681"/>
      <c r="M8" s="681"/>
      <c r="N8" s="958"/>
      <c r="O8" s="641"/>
      <c r="P8" s="559"/>
      <c r="Q8" s="559"/>
      <c r="R8" s="559"/>
    </row>
    <row r="9" spans="2:18" ht="15" customHeight="1">
      <c r="B9" s="679"/>
      <c r="C9" s="680"/>
      <c r="D9" s="680"/>
      <c r="E9" s="677"/>
      <c r="F9" s="677"/>
      <c r="G9" s="677"/>
      <c r="H9" s="677"/>
      <c r="I9" s="677"/>
      <c r="J9" s="677"/>
      <c r="K9" s="677"/>
      <c r="L9" s="681"/>
      <c r="M9" s="681"/>
      <c r="N9" s="958"/>
      <c r="O9" s="641"/>
      <c r="P9" s="559"/>
      <c r="Q9" s="559"/>
      <c r="R9" s="559"/>
    </row>
    <row r="10" spans="2:18">
      <c r="B10" s="679"/>
      <c r="C10" s="680"/>
      <c r="D10" s="680"/>
      <c r="E10" s="677"/>
      <c r="F10" s="677"/>
      <c r="G10" s="677"/>
      <c r="H10" s="677"/>
      <c r="I10" s="677"/>
      <c r="J10" s="677"/>
      <c r="K10" s="677"/>
      <c r="L10" s="681"/>
      <c r="M10" s="681"/>
      <c r="N10" s="958"/>
      <c r="O10" s="641"/>
      <c r="P10" s="559"/>
      <c r="Q10" s="559"/>
      <c r="R10" s="559"/>
    </row>
    <row r="11" spans="2:18" ht="15" customHeight="1">
      <c r="B11" s="679"/>
      <c r="C11" s="680"/>
      <c r="D11" s="680"/>
      <c r="E11" s="677"/>
      <c r="F11" s="677"/>
      <c r="G11" s="677"/>
      <c r="H11" s="677"/>
      <c r="I11" s="677"/>
      <c r="J11" s="677"/>
      <c r="K11" s="677"/>
      <c r="L11" s="681"/>
      <c r="M11" s="681"/>
      <c r="N11" s="958"/>
      <c r="O11" s="641"/>
      <c r="P11" s="559"/>
      <c r="Q11" s="559"/>
      <c r="R11" s="559"/>
    </row>
    <row r="12" spans="2:18" ht="24" customHeight="1" thickBot="1">
      <c r="B12" s="104"/>
      <c r="C12" s="105"/>
      <c r="D12" s="105"/>
      <c r="E12" s="678"/>
      <c r="F12" s="678"/>
      <c r="G12" s="678"/>
      <c r="H12" s="678"/>
      <c r="I12" s="678"/>
      <c r="J12" s="678"/>
      <c r="K12" s="678"/>
      <c r="L12" s="107"/>
      <c r="M12" s="107"/>
      <c r="N12" s="108"/>
      <c r="O12" s="641"/>
      <c r="P12" s="559"/>
      <c r="Q12" s="559"/>
      <c r="R12" s="559"/>
    </row>
    <row r="13" spans="2:18" ht="15" customHeight="1">
      <c r="B13" s="109"/>
      <c r="C13" s="110"/>
      <c r="D13" s="110"/>
      <c r="E13" s="110"/>
      <c r="H13" s="110"/>
      <c r="I13" s="110"/>
      <c r="J13" s="110"/>
      <c r="K13" s="110"/>
      <c r="L13" s="110"/>
      <c r="M13" s="110"/>
      <c r="N13" s="111"/>
      <c r="O13" s="641"/>
      <c r="P13" s="559"/>
      <c r="Q13" s="559"/>
      <c r="R13" s="559"/>
    </row>
    <row r="14" spans="2:18" ht="15" customHeight="1">
      <c r="B14" s="109"/>
      <c r="C14" s="110"/>
      <c r="D14" s="110"/>
      <c r="E14" s="110"/>
      <c r="H14" s="110"/>
      <c r="I14" s="110"/>
      <c r="J14" s="110"/>
      <c r="K14" s="110"/>
      <c r="L14" s="110"/>
      <c r="M14" s="110"/>
      <c r="N14" s="111"/>
      <c r="O14" s="641"/>
      <c r="P14" s="559"/>
      <c r="Q14" s="559"/>
      <c r="R14" s="559"/>
    </row>
    <row r="15" spans="2:18" ht="15" customHeight="1">
      <c r="B15" s="109"/>
      <c r="C15" s="110"/>
      <c r="D15" s="110"/>
      <c r="E15" s="110"/>
      <c r="H15" s="110"/>
      <c r="I15" s="110"/>
      <c r="J15" s="110"/>
      <c r="K15" s="110"/>
      <c r="L15" s="110"/>
      <c r="M15" s="110"/>
      <c r="N15" s="111"/>
      <c r="O15" s="641"/>
      <c r="P15" s="559"/>
      <c r="Q15" s="559"/>
      <c r="R15" s="559"/>
    </row>
    <row r="16" spans="2:18" ht="15" customHeight="1" thickBot="1">
      <c r="B16" s="109"/>
      <c r="C16" s="110"/>
      <c r="D16" s="110"/>
      <c r="E16" s="110"/>
      <c r="H16" s="110"/>
      <c r="I16" s="110"/>
      <c r="J16" s="110"/>
      <c r="K16" s="110"/>
      <c r="L16" s="110"/>
      <c r="M16" s="110"/>
      <c r="N16" s="111"/>
      <c r="O16" s="641"/>
      <c r="P16" s="559"/>
      <c r="Q16" s="559"/>
      <c r="R16" s="559"/>
    </row>
    <row r="17" spans="2:25" s="112" customFormat="1" ht="18.75">
      <c r="B17" s="943" t="s">
        <v>334</v>
      </c>
      <c r="C17" s="944"/>
      <c r="D17" s="944"/>
      <c r="E17" s="944"/>
      <c r="F17" s="944"/>
      <c r="G17" s="944"/>
      <c r="H17" s="944"/>
      <c r="I17" s="944"/>
      <c r="J17" s="944"/>
      <c r="K17" s="944"/>
      <c r="L17" s="944"/>
      <c r="M17" s="944"/>
      <c r="N17" s="945"/>
      <c r="O17" s="642"/>
      <c r="P17" s="560"/>
      <c r="Q17" s="560"/>
      <c r="R17" s="560"/>
    </row>
    <row r="18" spans="2:25" s="112" customFormat="1" ht="19.5" thickBot="1">
      <c r="B18" s="946"/>
      <c r="C18" s="947"/>
      <c r="D18" s="947"/>
      <c r="E18" s="947"/>
      <c r="F18" s="947"/>
      <c r="G18" s="947"/>
      <c r="H18" s="947"/>
      <c r="I18" s="947"/>
      <c r="J18" s="947"/>
      <c r="K18" s="947"/>
      <c r="L18" s="947"/>
      <c r="M18" s="947"/>
      <c r="N18" s="948"/>
      <c r="O18" s="642"/>
      <c r="P18" s="560"/>
      <c r="Q18" s="560"/>
      <c r="R18" s="560"/>
    </row>
    <row r="19" spans="2:25" s="112" customFormat="1" ht="8.25" customHeight="1">
      <c r="B19" s="561"/>
      <c r="C19" s="141"/>
      <c r="D19" s="141"/>
      <c r="E19" s="141"/>
      <c r="F19" s="141"/>
      <c r="G19" s="141"/>
      <c r="H19" s="141"/>
      <c r="I19" s="562"/>
      <c r="J19" s="562"/>
      <c r="K19" s="562"/>
      <c r="L19" s="562"/>
      <c r="M19" s="562"/>
      <c r="N19" s="563"/>
      <c r="O19" s="642"/>
      <c r="P19" s="560"/>
      <c r="Q19" s="560"/>
      <c r="R19" s="560"/>
    </row>
    <row r="20" spans="2:25" s="112" customFormat="1" ht="8.25" customHeight="1">
      <c r="B20" s="561"/>
      <c r="C20" s="141"/>
      <c r="D20" s="141"/>
      <c r="E20" s="141"/>
      <c r="F20" s="141"/>
      <c r="G20" s="141"/>
      <c r="H20" s="141"/>
      <c r="I20" s="562"/>
      <c r="J20" s="562"/>
      <c r="K20" s="562"/>
      <c r="L20" s="562"/>
      <c r="M20" s="562"/>
      <c r="N20" s="563"/>
      <c r="O20" s="642"/>
      <c r="P20" s="560"/>
      <c r="Q20" s="560"/>
      <c r="R20" s="560"/>
    </row>
    <row r="21" spans="2:25" s="112" customFormat="1" ht="18.75">
      <c r="B21" s="564" t="s">
        <v>223</v>
      </c>
      <c r="C21" s="760" t="s">
        <v>268</v>
      </c>
      <c r="D21" s="760"/>
      <c r="E21" s="760"/>
      <c r="F21" s="760"/>
      <c r="G21" s="760"/>
      <c r="H21" s="760"/>
      <c r="I21" s="760"/>
      <c r="J21" s="562"/>
      <c r="K21" s="562"/>
      <c r="L21" s="562"/>
      <c r="M21" s="562"/>
      <c r="N21" s="563"/>
      <c r="O21" s="642"/>
      <c r="P21" s="560"/>
      <c r="Q21" s="560"/>
      <c r="R21" s="560"/>
    </row>
    <row r="22" spans="2:25" s="112" customFormat="1" ht="30.75" customHeight="1">
      <c r="B22" s="564"/>
      <c r="C22" s="937" t="s">
        <v>261</v>
      </c>
      <c r="D22" s="937"/>
      <c r="E22" s="937"/>
      <c r="F22" s="937"/>
      <c r="G22" s="937"/>
      <c r="H22" s="937"/>
      <c r="I22" s="937"/>
      <c r="J22" s="937"/>
      <c r="K22" s="937"/>
      <c r="L22" s="937"/>
      <c r="M22" s="937"/>
      <c r="N22" s="938"/>
      <c r="O22" s="642"/>
      <c r="P22" s="560"/>
      <c r="Q22" s="560"/>
      <c r="R22" s="560"/>
    </row>
    <row r="23" spans="2:25" s="112" customFormat="1" ht="18" customHeight="1">
      <c r="B23" s="564"/>
      <c r="C23" s="937" t="s">
        <v>307</v>
      </c>
      <c r="D23" s="937"/>
      <c r="E23" s="937"/>
      <c r="F23" s="937"/>
      <c r="G23" s="937"/>
      <c r="H23" s="937"/>
      <c r="I23" s="937"/>
      <c r="J23" s="937"/>
      <c r="K23" s="937"/>
      <c r="L23" s="937"/>
      <c r="M23" s="937"/>
      <c r="N23" s="938"/>
      <c r="O23" s="642"/>
      <c r="P23" s="560"/>
      <c r="Q23" s="560"/>
      <c r="R23" s="560"/>
    </row>
    <row r="24" spans="2:25" s="112" customFormat="1" ht="18" customHeight="1" thickBot="1">
      <c r="B24" s="565"/>
      <c r="C24" s="939"/>
      <c r="D24" s="939"/>
      <c r="E24" s="939"/>
      <c r="F24" s="939"/>
      <c r="G24" s="939"/>
      <c r="H24" s="939"/>
      <c r="I24" s="939"/>
      <c r="J24" s="939"/>
      <c r="K24" s="939"/>
      <c r="L24" s="939"/>
      <c r="M24" s="939"/>
      <c r="N24" s="940"/>
      <c r="O24" s="642"/>
      <c r="P24" s="560"/>
      <c r="Q24" s="560"/>
      <c r="R24" s="560"/>
    </row>
    <row r="25" spans="2:25" s="112" customFormat="1" ht="18" customHeight="1">
      <c r="B25" s="148" t="s">
        <v>178</v>
      </c>
      <c r="C25" s="149"/>
      <c r="D25" s="149"/>
      <c r="E25" s="146" t="s">
        <v>179</v>
      </c>
      <c r="F25" s="150"/>
      <c r="G25" s="150"/>
      <c r="H25" s="147"/>
      <c r="I25" s="151" t="s">
        <v>177</v>
      </c>
      <c r="J25" s="98"/>
      <c r="K25" s="98"/>
      <c r="L25" s="98"/>
      <c r="M25" s="98"/>
      <c r="N25" s="111"/>
      <c r="O25" s="642"/>
      <c r="P25" s="560"/>
      <c r="Q25" s="560"/>
      <c r="R25" s="560"/>
    </row>
    <row r="26" spans="2:25" s="112" customFormat="1" ht="18.75" customHeight="1" thickBot="1">
      <c r="B26" s="733" t="s">
        <v>133</v>
      </c>
      <c r="C26" s="734"/>
      <c r="D26" s="735"/>
      <c r="E26" s="661" t="str">
        <f>VLOOKUP($B$26,'Mutual aid grades definitions'!$A:$E,2,FALSE)</f>
        <v xml:space="preserve"> </v>
      </c>
      <c r="F26" s="662"/>
      <c r="G26" s="662"/>
      <c r="H26" s="152"/>
      <c r="I26" s="710" t="str">
        <f>VLOOKUP($B$26,'Mutual aid grades definitions'!$A:$E,3,FALSE)</f>
        <v xml:space="preserve"> </v>
      </c>
      <c r="J26" s="710"/>
      <c r="K26" s="710"/>
      <c r="L26" s="710"/>
      <c r="M26" s="710"/>
      <c r="N26" s="711"/>
      <c r="O26" s="642"/>
      <c r="P26" s="560"/>
      <c r="Q26" s="560"/>
      <c r="R26" s="560"/>
      <c r="S26" s="949"/>
      <c r="T26" s="949"/>
      <c r="U26" s="949"/>
      <c r="V26" s="949"/>
      <c r="W26" s="949"/>
      <c r="X26" s="949"/>
      <c r="Y26" s="949"/>
    </row>
    <row r="27" spans="2:25" s="112" customFormat="1" ht="19.5" thickBot="1">
      <c r="B27" s="566"/>
      <c r="C27" s="567"/>
      <c r="D27" s="567"/>
      <c r="E27" s="567"/>
      <c r="F27" s="567"/>
      <c r="G27" s="567"/>
      <c r="H27" s="567"/>
      <c r="I27" s="568"/>
      <c r="J27" s="568"/>
      <c r="K27" s="568"/>
      <c r="L27" s="568"/>
      <c r="M27" s="568"/>
      <c r="N27" s="568"/>
      <c r="O27" s="560"/>
      <c r="P27" s="560"/>
      <c r="Q27" s="560"/>
      <c r="R27" s="560"/>
      <c r="S27" s="949"/>
      <c r="T27" s="949"/>
      <c r="U27" s="949"/>
      <c r="V27" s="949"/>
      <c r="W27" s="949"/>
      <c r="X27" s="949"/>
      <c r="Y27" s="949"/>
    </row>
    <row r="28" spans="2:25" s="112" customFormat="1" ht="19.5" thickBot="1">
      <c r="B28" s="923" t="s">
        <v>284</v>
      </c>
      <c r="C28" s="924"/>
      <c r="D28" s="924"/>
      <c r="E28" s="924"/>
      <c r="F28" s="924"/>
      <c r="G28" s="924"/>
      <c r="H28" s="924"/>
      <c r="I28" s="925"/>
      <c r="J28" s="134"/>
      <c r="K28" s="134"/>
      <c r="L28" s="134"/>
      <c r="M28" s="926"/>
      <c r="N28" s="950"/>
      <c r="O28" s="643"/>
      <c r="P28" s="560"/>
      <c r="Q28" s="560"/>
      <c r="R28" s="560"/>
    </row>
    <row r="29" spans="2:25" s="112" customFormat="1" ht="19.5" thickBot="1">
      <c r="B29" s="561"/>
      <c r="C29" s="141"/>
      <c r="D29" s="141"/>
      <c r="E29" s="141"/>
      <c r="F29" s="141"/>
      <c r="G29" s="141"/>
      <c r="H29" s="141"/>
      <c r="I29" s="562"/>
      <c r="J29" s="562"/>
      <c r="K29" s="562"/>
      <c r="L29" s="562"/>
      <c r="M29" s="562"/>
      <c r="N29" s="640"/>
      <c r="O29" s="560"/>
      <c r="P29" s="560"/>
      <c r="Q29" s="560"/>
      <c r="R29" s="560"/>
    </row>
    <row r="30" spans="2:25" ht="18" customHeight="1">
      <c r="B30" s="754" t="s">
        <v>286</v>
      </c>
      <c r="C30" s="755"/>
      <c r="D30" s="755"/>
      <c r="E30" s="755"/>
      <c r="F30" s="755"/>
      <c r="G30" s="755"/>
      <c r="H30" s="755"/>
      <c r="I30" s="756"/>
      <c r="J30" s="224"/>
      <c r="K30" s="723" t="s">
        <v>287</v>
      </c>
      <c r="L30" s="724"/>
      <c r="M30" s="724"/>
      <c r="N30" s="725"/>
    </row>
    <row r="31" spans="2:25" ht="19.5" thickBot="1">
      <c r="B31" s="757"/>
      <c r="C31" s="758"/>
      <c r="D31" s="758"/>
      <c r="E31" s="758"/>
      <c r="F31" s="758"/>
      <c r="G31" s="758"/>
      <c r="H31" s="758"/>
      <c r="I31" s="759"/>
      <c r="J31" s="224"/>
      <c r="K31" s="726"/>
      <c r="L31" s="727"/>
      <c r="M31" s="727"/>
      <c r="N31" s="728"/>
    </row>
    <row r="32" spans="2:25" ht="16.5" thickBot="1">
      <c r="B32" s="930" t="s">
        <v>302</v>
      </c>
      <c r="C32" s="931"/>
      <c r="D32" s="932"/>
      <c r="E32" s="731" t="s">
        <v>223</v>
      </c>
      <c r="F32" s="933"/>
      <c r="G32" s="732"/>
      <c r="H32" s="731" t="s">
        <v>281</v>
      </c>
      <c r="I32" s="732"/>
      <c r="J32" s="228"/>
      <c r="K32" s="570"/>
      <c r="L32" s="571"/>
      <c r="M32" s="731" t="s">
        <v>285</v>
      </c>
      <c r="N32" s="732"/>
    </row>
    <row r="33" spans="2:18" ht="15" customHeight="1">
      <c r="B33" s="910" t="s">
        <v>280</v>
      </c>
      <c r="C33" s="911"/>
      <c r="D33" s="912"/>
      <c r="E33" s="934"/>
      <c r="F33" s="935"/>
      <c r="G33" s="936"/>
      <c r="H33" s="941"/>
      <c r="I33" s="942"/>
      <c r="J33" s="213"/>
      <c r="K33" s="572" t="str">
        <f>IF($D33="Specialist equipment",(G33*#REF!*H33),"")</f>
        <v/>
      </c>
      <c r="L33" s="573"/>
      <c r="M33" s="928" t="str">
        <f>IF(H33="","",H33/$M$28)</f>
        <v/>
      </c>
      <c r="N33" s="929"/>
    </row>
    <row r="34" spans="2:18" ht="15" customHeight="1">
      <c r="B34" s="910" t="s">
        <v>275</v>
      </c>
      <c r="C34" s="911"/>
      <c r="D34" s="912"/>
      <c r="E34" s="889"/>
      <c r="F34" s="890"/>
      <c r="G34" s="891"/>
      <c r="H34" s="892"/>
      <c r="I34" s="893"/>
      <c r="J34" s="213"/>
      <c r="K34" s="572" t="str">
        <f>IF($D34="Specialist equipment",(G34*#REF!*H34),"")</f>
        <v/>
      </c>
      <c r="L34" s="573"/>
      <c r="M34" s="908" t="str">
        <f t="shared" ref="M34:M39" si="0">IF(H34="","",H34/$M$28)</f>
        <v/>
      </c>
      <c r="N34" s="909"/>
    </row>
    <row r="35" spans="2:18" ht="15" customHeight="1">
      <c r="B35" s="910" t="s">
        <v>289</v>
      </c>
      <c r="C35" s="911"/>
      <c r="D35" s="912"/>
      <c r="E35" s="889"/>
      <c r="F35" s="890"/>
      <c r="G35" s="891"/>
      <c r="H35" s="892"/>
      <c r="I35" s="893"/>
      <c r="J35" s="213"/>
      <c r="K35" s="572" t="str">
        <f>IF($D35="Specialist equipment",(G35*#REF!*H35),"")</f>
        <v/>
      </c>
      <c r="L35" s="573"/>
      <c r="M35" s="908" t="str">
        <f t="shared" si="0"/>
        <v/>
      </c>
      <c r="N35" s="909"/>
    </row>
    <row r="36" spans="2:18" ht="15" customHeight="1">
      <c r="B36" s="910" t="s">
        <v>276</v>
      </c>
      <c r="C36" s="911"/>
      <c r="D36" s="912"/>
      <c r="E36" s="889"/>
      <c r="F36" s="890"/>
      <c r="G36" s="891"/>
      <c r="H36" s="892"/>
      <c r="I36" s="893"/>
      <c r="J36" s="213"/>
      <c r="K36" s="572" t="str">
        <f>IF($D36="Specialist equipment",(G36*#REF!*H36),"")</f>
        <v/>
      </c>
      <c r="L36" s="573"/>
      <c r="M36" s="908" t="str">
        <f t="shared" si="0"/>
        <v/>
      </c>
      <c r="N36" s="909"/>
    </row>
    <row r="37" spans="2:18" ht="15" customHeight="1">
      <c r="B37" s="910" t="s">
        <v>279</v>
      </c>
      <c r="C37" s="911"/>
      <c r="D37" s="912"/>
      <c r="E37" s="889"/>
      <c r="F37" s="890"/>
      <c r="G37" s="891"/>
      <c r="H37" s="892"/>
      <c r="I37" s="893"/>
      <c r="J37" s="213"/>
      <c r="K37" s="572" t="str">
        <f>IF($D37="Specialist equipment",(G37*#REF!*H37),"")</f>
        <v/>
      </c>
      <c r="L37" s="573"/>
      <c r="M37" s="908" t="str">
        <f t="shared" si="0"/>
        <v/>
      </c>
      <c r="N37" s="909"/>
    </row>
    <row r="38" spans="2:18" ht="15.75" customHeight="1">
      <c r="B38" s="910" t="s">
        <v>278</v>
      </c>
      <c r="C38" s="911"/>
      <c r="D38" s="912"/>
      <c r="E38" s="889"/>
      <c r="F38" s="890"/>
      <c r="G38" s="891"/>
      <c r="H38" s="892"/>
      <c r="I38" s="893"/>
      <c r="J38" s="213"/>
      <c r="K38" s="572" t="str">
        <f>IF($D38="Specialist equipment",(G38*#REF!*H38),"")</f>
        <v/>
      </c>
      <c r="L38" s="573"/>
      <c r="M38" s="908" t="str">
        <f t="shared" si="0"/>
        <v/>
      </c>
      <c r="N38" s="909"/>
    </row>
    <row r="39" spans="2:18" ht="16.5" thickBot="1">
      <c r="B39" s="894" t="s">
        <v>277</v>
      </c>
      <c r="C39" s="895"/>
      <c r="D39" s="896"/>
      <c r="E39" s="897"/>
      <c r="F39" s="898"/>
      <c r="G39" s="899"/>
      <c r="H39" s="900"/>
      <c r="I39" s="901"/>
      <c r="J39" s="213"/>
      <c r="K39" s="572" t="str">
        <f>IF($D39="Specialist equipment",(G39*#REF!*H39),"")</f>
        <v/>
      </c>
      <c r="L39" s="573"/>
      <c r="M39" s="902" t="str">
        <f t="shared" si="0"/>
        <v/>
      </c>
      <c r="N39" s="903"/>
    </row>
    <row r="40" spans="2:18" s="112" customFormat="1" ht="18.75" customHeight="1" thickBot="1">
      <c r="B40" s="132"/>
      <c r="C40" s="329"/>
      <c r="D40" s="329"/>
      <c r="E40" s="329"/>
      <c r="F40" s="329"/>
      <c r="G40" s="329"/>
      <c r="H40" s="329"/>
      <c r="I40" s="134"/>
      <c r="J40" s="562"/>
      <c r="K40" s="904" t="s">
        <v>282</v>
      </c>
      <c r="L40" s="905"/>
      <c r="M40" s="906">
        <f>SUM(M33:N39)</f>
        <v>0</v>
      </c>
      <c r="N40" s="907"/>
      <c r="O40" s="560"/>
      <c r="P40" s="560"/>
      <c r="Q40" s="560"/>
      <c r="R40" s="560"/>
    </row>
    <row r="41" spans="2:18" s="112" customFormat="1" ht="12.75" customHeight="1" thickBot="1">
      <c r="B41" s="132"/>
      <c r="C41" s="329"/>
      <c r="D41" s="329"/>
      <c r="E41" s="329"/>
      <c r="F41" s="329"/>
      <c r="G41" s="329"/>
      <c r="H41" s="329"/>
      <c r="I41" s="134"/>
      <c r="J41" s="562"/>
      <c r="K41" s="134"/>
      <c r="L41" s="134"/>
      <c r="M41" s="574"/>
      <c r="N41" s="575"/>
      <c r="O41" s="560"/>
      <c r="P41" s="560"/>
      <c r="Q41" s="560"/>
      <c r="R41" s="560"/>
    </row>
    <row r="42" spans="2:18" s="112" customFormat="1" ht="18.75" customHeight="1" thickBot="1">
      <c r="B42" s="913" t="s">
        <v>288</v>
      </c>
      <c r="C42" s="914"/>
      <c r="D42" s="914"/>
      <c r="E42" s="914"/>
      <c r="F42" s="914"/>
      <c r="G42" s="914"/>
      <c r="H42" s="914"/>
      <c r="I42" s="915"/>
      <c r="J42" s="134"/>
      <c r="K42" s="134"/>
      <c r="L42" s="134"/>
      <c r="M42" s="906">
        <f>M40/208</f>
        <v>0</v>
      </c>
      <c r="N42" s="907"/>
      <c r="O42" s="576"/>
      <c r="P42" s="560"/>
      <c r="Q42" s="560"/>
      <c r="R42" s="560"/>
    </row>
    <row r="43" spans="2:18" s="112" customFormat="1" ht="19.5" thickBot="1">
      <c r="B43" s="577"/>
      <c r="C43" s="578"/>
      <c r="D43" s="578"/>
      <c r="E43" s="578"/>
      <c r="F43" s="578"/>
      <c r="G43" s="578"/>
      <c r="H43" s="578"/>
      <c r="I43" s="578"/>
      <c r="J43" s="579"/>
      <c r="K43" s="579"/>
      <c r="L43" s="579"/>
      <c r="M43" s="579"/>
      <c r="N43" s="580"/>
      <c r="O43" s="560"/>
      <c r="P43" s="560"/>
      <c r="Q43" s="560"/>
      <c r="R43" s="560"/>
    </row>
    <row r="44" spans="2:18" s="112" customFormat="1" ht="19.5" thickBot="1">
      <c r="B44" s="581"/>
      <c r="C44" s="581"/>
      <c r="D44" s="581"/>
      <c r="E44" s="581"/>
      <c r="F44" s="581"/>
      <c r="G44" s="581"/>
      <c r="H44" s="581"/>
      <c r="I44" s="581"/>
      <c r="J44" s="134"/>
      <c r="K44" s="134"/>
      <c r="L44" s="134"/>
      <c r="M44" s="134"/>
      <c r="N44" s="134"/>
      <c r="O44" s="560"/>
      <c r="P44" s="560"/>
      <c r="Q44" s="560"/>
      <c r="R44" s="560"/>
    </row>
    <row r="45" spans="2:18" s="112" customFormat="1" ht="19.5" thickBot="1">
      <c r="B45" s="566"/>
      <c r="C45" s="567"/>
      <c r="D45" s="567"/>
      <c r="E45" s="567"/>
      <c r="F45" s="567"/>
      <c r="G45" s="567"/>
      <c r="H45" s="567"/>
      <c r="I45" s="568"/>
      <c r="J45" s="568"/>
      <c r="K45" s="568"/>
      <c r="L45" s="568"/>
      <c r="M45" s="568"/>
      <c r="N45" s="569"/>
      <c r="O45" s="560"/>
      <c r="P45" s="560"/>
      <c r="Q45" s="560"/>
      <c r="R45" s="560"/>
    </row>
    <row r="46" spans="2:18" s="112" customFormat="1" ht="19.5" thickBot="1">
      <c r="B46" s="923" t="s">
        <v>296</v>
      </c>
      <c r="C46" s="924"/>
      <c r="D46" s="924"/>
      <c r="E46" s="924"/>
      <c r="F46" s="924"/>
      <c r="G46" s="924"/>
      <c r="H46" s="924"/>
      <c r="I46" s="925"/>
      <c r="J46" s="134"/>
      <c r="K46" s="134"/>
      <c r="L46" s="134"/>
      <c r="M46" s="926"/>
      <c r="N46" s="927"/>
      <c r="O46" s="560"/>
      <c r="P46" s="560"/>
      <c r="Q46" s="560"/>
      <c r="R46" s="560"/>
    </row>
    <row r="47" spans="2:18" s="112" customFormat="1" ht="19.5" thickBot="1">
      <c r="B47" s="561"/>
      <c r="C47" s="141"/>
      <c r="D47" s="141"/>
      <c r="E47" s="141"/>
      <c r="F47" s="141"/>
      <c r="G47" s="141"/>
      <c r="H47" s="141"/>
      <c r="I47" s="562"/>
      <c r="J47" s="562"/>
      <c r="K47" s="562"/>
      <c r="L47" s="562"/>
      <c r="M47" s="562"/>
      <c r="N47" s="563"/>
      <c r="O47" s="560"/>
      <c r="P47" s="560"/>
      <c r="Q47" s="560"/>
      <c r="R47" s="560"/>
    </row>
    <row r="48" spans="2:18" ht="18.75">
      <c r="B48" s="754" t="s">
        <v>290</v>
      </c>
      <c r="C48" s="755"/>
      <c r="D48" s="755"/>
      <c r="E48" s="755"/>
      <c r="F48" s="755"/>
      <c r="G48" s="755"/>
      <c r="H48" s="755"/>
      <c r="I48" s="756"/>
      <c r="J48" s="224"/>
      <c r="K48" s="723" t="s">
        <v>295</v>
      </c>
      <c r="L48" s="724"/>
      <c r="M48" s="724"/>
      <c r="N48" s="725"/>
      <c r="O48" s="560"/>
      <c r="P48" s="560"/>
      <c r="Q48" s="560"/>
      <c r="R48" s="560"/>
    </row>
    <row r="49" spans="2:18" ht="19.5" thickBot="1">
      <c r="B49" s="757"/>
      <c r="C49" s="758"/>
      <c r="D49" s="758"/>
      <c r="E49" s="758"/>
      <c r="F49" s="758"/>
      <c r="G49" s="758"/>
      <c r="H49" s="758"/>
      <c r="I49" s="759"/>
      <c r="J49" s="224"/>
      <c r="K49" s="726"/>
      <c r="L49" s="727"/>
      <c r="M49" s="727"/>
      <c r="N49" s="728"/>
      <c r="O49" s="560"/>
      <c r="P49" s="560"/>
      <c r="Q49" s="560"/>
      <c r="R49" s="560"/>
    </row>
    <row r="50" spans="2:18" ht="16.5" thickBot="1">
      <c r="B50" s="930" t="s">
        <v>302</v>
      </c>
      <c r="C50" s="931"/>
      <c r="D50" s="932"/>
      <c r="E50" s="731" t="s">
        <v>223</v>
      </c>
      <c r="F50" s="933"/>
      <c r="G50" s="732"/>
      <c r="H50" s="731" t="s">
        <v>281</v>
      </c>
      <c r="I50" s="732"/>
      <c r="J50" s="228"/>
      <c r="K50" s="570"/>
      <c r="L50" s="571"/>
      <c r="M50" s="731" t="s">
        <v>301</v>
      </c>
      <c r="N50" s="732"/>
      <c r="O50" s="559"/>
      <c r="P50" s="582"/>
      <c r="Q50" s="582"/>
      <c r="R50" s="582"/>
    </row>
    <row r="51" spans="2:18">
      <c r="B51" s="910" t="s">
        <v>297</v>
      </c>
      <c r="C51" s="911"/>
      <c r="D51" s="912"/>
      <c r="E51" s="889"/>
      <c r="F51" s="890"/>
      <c r="G51" s="891"/>
      <c r="H51" s="892"/>
      <c r="I51" s="893"/>
      <c r="J51" s="213"/>
      <c r="K51" s="572" t="str">
        <f>IF($D51="Specialist equipment",(G51*#REF!*H51),"")</f>
        <v/>
      </c>
      <c r="L51" s="573"/>
      <c r="M51" s="928" t="str">
        <f>IF(H51="","",H51/$M$46)</f>
        <v/>
      </c>
      <c r="N51" s="929"/>
      <c r="O51" s="559"/>
      <c r="R51" s="559"/>
    </row>
    <row r="52" spans="2:18">
      <c r="B52" s="910" t="s">
        <v>293</v>
      </c>
      <c r="C52" s="911"/>
      <c r="D52" s="912"/>
      <c r="E52" s="889"/>
      <c r="F52" s="890"/>
      <c r="G52" s="891"/>
      <c r="H52" s="892"/>
      <c r="I52" s="893"/>
      <c r="J52" s="213"/>
      <c r="K52" s="572" t="str">
        <f>IF($D52="Specialist equipment",(G52*#REF!*H52),"")</f>
        <v/>
      </c>
      <c r="L52" s="573"/>
      <c r="M52" s="908" t="str">
        <f t="shared" ref="M52:M57" si="1">IF(H52="","",H52/$M$46)</f>
        <v/>
      </c>
      <c r="N52" s="909"/>
      <c r="O52" s="559"/>
      <c r="R52" s="559"/>
    </row>
    <row r="53" spans="2:18">
      <c r="B53" s="910" t="s">
        <v>298</v>
      </c>
      <c r="C53" s="911"/>
      <c r="D53" s="912"/>
      <c r="E53" s="583"/>
      <c r="F53" s="584"/>
      <c r="G53" s="585"/>
      <c r="H53" s="892"/>
      <c r="I53" s="893"/>
      <c r="J53" s="213"/>
      <c r="K53" s="572"/>
      <c r="L53" s="573"/>
      <c r="M53" s="908" t="str">
        <f t="shared" si="1"/>
        <v/>
      </c>
      <c r="N53" s="909"/>
      <c r="O53" s="559"/>
      <c r="R53" s="559"/>
    </row>
    <row r="54" spans="2:18">
      <c r="B54" s="910" t="s">
        <v>294</v>
      </c>
      <c r="C54" s="911"/>
      <c r="D54" s="912"/>
      <c r="E54" s="889"/>
      <c r="F54" s="890"/>
      <c r="G54" s="891"/>
      <c r="H54" s="892"/>
      <c r="I54" s="893"/>
      <c r="J54" s="213"/>
      <c r="K54" s="572" t="str">
        <f>IF($D54="Specialist equipment",(G54*#REF!*H54),"")</f>
        <v/>
      </c>
      <c r="L54" s="573"/>
      <c r="M54" s="908" t="str">
        <f t="shared" si="1"/>
        <v/>
      </c>
      <c r="N54" s="909"/>
      <c r="O54" s="559"/>
      <c r="R54" s="559"/>
    </row>
    <row r="55" spans="2:18">
      <c r="B55" s="910" t="s">
        <v>291</v>
      </c>
      <c r="C55" s="911"/>
      <c r="D55" s="912"/>
      <c r="E55" s="889"/>
      <c r="F55" s="890"/>
      <c r="G55" s="891"/>
      <c r="H55" s="892"/>
      <c r="I55" s="893"/>
      <c r="J55" s="213"/>
      <c r="K55" s="572" t="str">
        <f>IF($D55="Specialist equipment",(G55*#REF!*H55),"")</f>
        <v/>
      </c>
      <c r="L55" s="573"/>
      <c r="M55" s="908" t="str">
        <f t="shared" si="1"/>
        <v/>
      </c>
      <c r="N55" s="909"/>
      <c r="O55" s="559"/>
      <c r="R55" s="559"/>
    </row>
    <row r="56" spans="2:18">
      <c r="B56" s="910" t="s">
        <v>292</v>
      </c>
      <c r="C56" s="911"/>
      <c r="D56" s="912"/>
      <c r="E56" s="889"/>
      <c r="F56" s="890"/>
      <c r="G56" s="891"/>
      <c r="H56" s="892"/>
      <c r="I56" s="893"/>
      <c r="J56" s="213"/>
      <c r="K56" s="572" t="str">
        <f>IF($D56="Specialist equipment",(G56*#REF!*H56),"")</f>
        <v/>
      </c>
      <c r="L56" s="573"/>
      <c r="M56" s="908" t="str">
        <f t="shared" si="1"/>
        <v/>
      </c>
      <c r="N56" s="909"/>
      <c r="O56" s="559"/>
      <c r="R56" s="559"/>
    </row>
    <row r="57" spans="2:18" ht="16.5" thickBot="1">
      <c r="B57" s="894" t="s">
        <v>277</v>
      </c>
      <c r="C57" s="895"/>
      <c r="D57" s="896"/>
      <c r="E57" s="897"/>
      <c r="F57" s="898"/>
      <c r="G57" s="899"/>
      <c r="H57" s="900"/>
      <c r="I57" s="901"/>
      <c r="J57" s="213"/>
      <c r="K57" s="572" t="str">
        <f>IF($D57="Specialist equipment",(G57*#REF!*H57),"")</f>
        <v/>
      </c>
      <c r="L57" s="573"/>
      <c r="M57" s="902" t="str">
        <f t="shared" si="1"/>
        <v/>
      </c>
      <c r="N57" s="903"/>
      <c r="O57" s="559"/>
      <c r="R57" s="559"/>
    </row>
    <row r="58" spans="2:18" ht="19.5" thickBot="1">
      <c r="B58" s="132"/>
      <c r="C58" s="329"/>
      <c r="D58" s="329"/>
      <c r="E58" s="329"/>
      <c r="F58" s="329"/>
      <c r="G58" s="329"/>
      <c r="H58" s="329"/>
      <c r="I58" s="134"/>
      <c r="J58" s="562"/>
      <c r="K58" s="904" t="s">
        <v>282</v>
      </c>
      <c r="L58" s="905"/>
      <c r="M58" s="906">
        <f>SUM(M51:N57)</f>
        <v>0</v>
      </c>
      <c r="N58" s="907"/>
      <c r="O58" s="559"/>
      <c r="R58" s="559"/>
    </row>
    <row r="59" spans="2:18" ht="16.5" customHeight="1" thickBot="1">
      <c r="B59" s="132"/>
      <c r="C59" s="329"/>
      <c r="D59" s="329"/>
      <c r="E59" s="329"/>
      <c r="F59" s="329"/>
      <c r="G59" s="329"/>
      <c r="H59" s="329"/>
      <c r="I59" s="134"/>
      <c r="J59" s="562"/>
      <c r="K59" s="134"/>
      <c r="L59" s="134"/>
      <c r="M59" s="574"/>
      <c r="N59" s="575"/>
      <c r="O59" s="559"/>
      <c r="P59" s="559"/>
      <c r="Q59" s="559"/>
      <c r="R59" s="559"/>
    </row>
    <row r="60" spans="2:18" ht="16.5" customHeight="1" thickBot="1">
      <c r="B60" s="913" t="s">
        <v>299</v>
      </c>
      <c r="C60" s="914"/>
      <c r="D60" s="914"/>
      <c r="E60" s="914"/>
      <c r="F60" s="914"/>
      <c r="G60" s="914"/>
      <c r="H60" s="914"/>
      <c r="I60" s="915"/>
      <c r="J60" s="134"/>
      <c r="K60" s="134"/>
      <c r="L60" s="134"/>
      <c r="M60" s="906">
        <f>M58/208</f>
        <v>0</v>
      </c>
      <c r="N60" s="907"/>
      <c r="O60" s="559"/>
      <c r="P60" s="559"/>
      <c r="Q60" s="559"/>
      <c r="R60" s="559"/>
    </row>
    <row r="61" spans="2:18" ht="16.5" customHeight="1" thickBot="1">
      <c r="B61" s="586"/>
      <c r="C61" s="587"/>
      <c r="D61" s="587"/>
      <c r="E61" s="587"/>
      <c r="F61" s="587"/>
      <c r="G61" s="587"/>
      <c r="H61" s="587"/>
      <c r="I61" s="587"/>
      <c r="J61" s="579"/>
      <c r="K61" s="579"/>
      <c r="L61" s="579"/>
      <c r="M61" s="588"/>
      <c r="N61" s="589"/>
      <c r="O61" s="559"/>
      <c r="P61" s="559"/>
      <c r="Q61" s="559"/>
      <c r="R61" s="559"/>
    </row>
    <row r="62" spans="2:18" ht="16.5" customHeight="1" thickBot="1">
      <c r="B62" s="590"/>
      <c r="C62" s="590"/>
      <c r="D62" s="590"/>
      <c r="E62" s="590"/>
      <c r="F62" s="590"/>
      <c r="G62" s="590"/>
      <c r="H62" s="590"/>
      <c r="I62" s="590"/>
      <c r="J62" s="134"/>
      <c r="K62" s="134"/>
      <c r="L62" s="134"/>
      <c r="M62" s="591"/>
      <c r="N62" s="591"/>
      <c r="O62" s="559"/>
      <c r="P62" s="97"/>
      <c r="Q62" s="97"/>
      <c r="R62" s="559"/>
    </row>
    <row r="63" spans="2:18" ht="18" customHeight="1">
      <c r="B63" s="943" t="s">
        <v>335</v>
      </c>
      <c r="C63" s="944"/>
      <c r="D63" s="944"/>
      <c r="E63" s="944"/>
      <c r="F63" s="944"/>
      <c r="G63" s="944"/>
      <c r="H63" s="944"/>
      <c r="I63" s="944"/>
      <c r="J63" s="944"/>
      <c r="K63" s="944"/>
      <c r="L63" s="944"/>
      <c r="M63" s="944"/>
      <c r="N63" s="945"/>
      <c r="P63" s="97"/>
      <c r="Q63" s="97"/>
    </row>
    <row r="64" spans="2:18" ht="16.5" thickBot="1">
      <c r="B64" s="946"/>
      <c r="C64" s="947"/>
      <c r="D64" s="947"/>
      <c r="E64" s="947"/>
      <c r="F64" s="947"/>
      <c r="G64" s="947"/>
      <c r="H64" s="947"/>
      <c r="I64" s="947"/>
      <c r="J64" s="947"/>
      <c r="K64" s="947"/>
      <c r="L64" s="947"/>
      <c r="M64" s="947"/>
      <c r="N64" s="948"/>
      <c r="P64" s="97"/>
      <c r="Q64" s="97"/>
    </row>
    <row r="65" spans="2:17" ht="19.5" thickBot="1">
      <c r="B65" s="578"/>
      <c r="C65" s="578"/>
      <c r="D65" s="578"/>
      <c r="E65" s="578"/>
      <c r="F65" s="578"/>
      <c r="G65" s="578"/>
      <c r="H65" s="578"/>
      <c r="I65" s="578"/>
      <c r="J65" s="134"/>
      <c r="K65" s="579"/>
      <c r="L65" s="579"/>
      <c r="M65" s="579"/>
      <c r="N65" s="579"/>
      <c r="P65" s="97"/>
      <c r="Q65" s="97"/>
    </row>
    <row r="66" spans="2:17" ht="18.75">
      <c r="B66" s="754" t="s">
        <v>266</v>
      </c>
      <c r="C66" s="755"/>
      <c r="D66" s="755"/>
      <c r="E66" s="755"/>
      <c r="F66" s="755"/>
      <c r="G66" s="755"/>
      <c r="H66" s="755"/>
      <c r="I66" s="756"/>
      <c r="J66" s="527"/>
      <c r="K66" s="745" t="s">
        <v>267</v>
      </c>
      <c r="L66" s="746"/>
      <c r="M66" s="747"/>
      <c r="N66" s="920"/>
      <c r="P66" s="97"/>
      <c r="Q66" s="97"/>
    </row>
    <row r="67" spans="2:17" ht="19.5" thickBot="1">
      <c r="B67" s="757"/>
      <c r="C67" s="758"/>
      <c r="D67" s="758"/>
      <c r="E67" s="758"/>
      <c r="F67" s="758"/>
      <c r="G67" s="758"/>
      <c r="H67" s="758"/>
      <c r="I67" s="759"/>
      <c r="J67" s="112"/>
      <c r="K67" s="748"/>
      <c r="L67" s="749"/>
      <c r="M67" s="750"/>
      <c r="N67" s="921"/>
      <c r="P67" s="97" t="str">
        <f>CONCATENATE('MA CLAIM FORM'!B$41&amp;D69)</f>
        <v>GRADE 2Please Choose</v>
      </c>
      <c r="Q67" s="97"/>
    </row>
    <row r="68" spans="2:17" ht="39" thickBot="1">
      <c r="B68" s="183" t="s">
        <v>0</v>
      </c>
      <c r="C68" s="183" t="s">
        <v>1</v>
      </c>
      <c r="D68" s="183" t="s">
        <v>190</v>
      </c>
      <c r="E68" s="184" t="s">
        <v>3</v>
      </c>
      <c r="F68" s="536" t="s">
        <v>378</v>
      </c>
      <c r="G68" s="183" t="s">
        <v>2</v>
      </c>
      <c r="H68" s="183" t="s">
        <v>328</v>
      </c>
      <c r="I68" s="184" t="s">
        <v>4</v>
      </c>
      <c r="J68" s="147"/>
      <c r="K68" s="183" t="s">
        <v>193</v>
      </c>
      <c r="L68" s="185" t="s">
        <v>375</v>
      </c>
      <c r="M68" s="185" t="s">
        <v>265</v>
      </c>
      <c r="N68" s="186" t="s">
        <v>194</v>
      </c>
      <c r="P68" s="97" t="str">
        <f>CONCATENATE('MA CLAIM FORM'!B$41&amp;D70)</f>
        <v>GRADE 2Please Choose</v>
      </c>
      <c r="Q68" s="97"/>
    </row>
    <row r="69" spans="2:17" ht="16.5" customHeight="1">
      <c r="B69" s="592"/>
      <c r="C69" s="593"/>
      <c r="D69" s="594" t="s">
        <v>192</v>
      </c>
      <c r="E69" s="191"/>
      <c r="F69" s="645" t="s">
        <v>133</v>
      </c>
      <c r="G69" s="193"/>
      <c r="H69" s="193"/>
      <c r="I69" s="195"/>
      <c r="J69" s="196"/>
      <c r="K69" s="239" t="str">
        <f>IF(G69="","",VLOOKUP(P69,Rates!B:D,3,FALSE))</f>
        <v/>
      </c>
      <c r="L69" s="647" t="str">
        <f>K69</f>
        <v/>
      </c>
      <c r="M69" s="595">
        <f t="shared" ref="M69:M76" si="2">G69*H69*I69</f>
        <v>0</v>
      </c>
      <c r="N69" s="243" t="str">
        <f>IF(G69="","",IF(L69=K69,(K69*M69),(L69*M69)))</f>
        <v/>
      </c>
      <c r="P69" s="97" t="str">
        <f>CONCATENATE(F69&amp;D69)</f>
        <v>Choose Mutual Aid GradePlease Choose</v>
      </c>
      <c r="Q69" s="97"/>
    </row>
    <row r="70" spans="2:17">
      <c r="B70" s="592"/>
      <c r="C70" s="593"/>
      <c r="D70" s="594" t="s">
        <v>192</v>
      </c>
      <c r="E70" s="201"/>
      <c r="F70" s="645" t="str">
        <f t="shared" ref="F70:F76" si="3">$B$26</f>
        <v>Choose Mutual Aid Grade</v>
      </c>
      <c r="G70" s="193"/>
      <c r="H70" s="193"/>
      <c r="I70" s="195"/>
      <c r="J70" s="203"/>
      <c r="K70" s="197" t="str">
        <f>IF(G70="","",VLOOKUP(P70,Rates!B:D,3,FALSE))</f>
        <v/>
      </c>
      <c r="L70" s="648" t="str">
        <f t="shared" ref="L70:L76" si="4">K70</f>
        <v/>
      </c>
      <c r="M70" s="538">
        <f t="shared" si="2"/>
        <v>0</v>
      </c>
      <c r="N70" s="200" t="str">
        <f t="shared" ref="N70:N76" si="5">IF(G70="","",IF(L70=K70,(K70*M70),(L70*M70)))</f>
        <v/>
      </c>
      <c r="P70" s="97" t="str">
        <f t="shared" ref="P70:P76" si="6">CONCATENATE(F70&amp;D70)</f>
        <v>Choose Mutual Aid GradePlease Choose</v>
      </c>
      <c r="Q70" s="97"/>
    </row>
    <row r="71" spans="2:17">
      <c r="B71" s="592"/>
      <c r="C71" s="593"/>
      <c r="D71" s="594" t="s">
        <v>192</v>
      </c>
      <c r="E71" s="204"/>
      <c r="F71" s="645" t="str">
        <f t="shared" si="3"/>
        <v>Choose Mutual Aid Grade</v>
      </c>
      <c r="G71" s="193"/>
      <c r="H71" s="193"/>
      <c r="I71" s="195"/>
      <c r="J71" s="203"/>
      <c r="K71" s="596" t="str">
        <f>IF(G71="","",VLOOKUP(P69,Rates!B:E,3,FALSE))</f>
        <v/>
      </c>
      <c r="L71" s="648" t="str">
        <f t="shared" si="4"/>
        <v/>
      </c>
      <c r="M71" s="538">
        <f t="shared" si="2"/>
        <v>0</v>
      </c>
      <c r="N71" s="200" t="str">
        <f t="shared" si="5"/>
        <v/>
      </c>
      <c r="P71" s="97" t="str">
        <f t="shared" si="6"/>
        <v>Choose Mutual Aid GradePlease Choose</v>
      </c>
      <c r="Q71" s="97"/>
    </row>
    <row r="72" spans="2:17">
      <c r="B72" s="592"/>
      <c r="C72" s="593"/>
      <c r="D72" s="594" t="s">
        <v>192</v>
      </c>
      <c r="E72" s="204"/>
      <c r="F72" s="645" t="str">
        <f t="shared" si="3"/>
        <v>Choose Mutual Aid Grade</v>
      </c>
      <c r="G72" s="193"/>
      <c r="H72" s="193"/>
      <c r="I72" s="195"/>
      <c r="J72" s="203"/>
      <c r="K72" s="596" t="str">
        <f>IF(G72="","",VLOOKUP(P70,Rates!B:E,3,FALSE))</f>
        <v/>
      </c>
      <c r="L72" s="648" t="str">
        <f t="shared" si="4"/>
        <v/>
      </c>
      <c r="M72" s="538">
        <f t="shared" si="2"/>
        <v>0</v>
      </c>
      <c r="N72" s="200" t="str">
        <f t="shared" si="5"/>
        <v/>
      </c>
      <c r="P72" s="97" t="str">
        <f t="shared" si="6"/>
        <v>Choose Mutual Aid GradePlease Choose</v>
      </c>
      <c r="Q72" s="97"/>
    </row>
    <row r="73" spans="2:17">
      <c r="B73" s="592"/>
      <c r="C73" s="593"/>
      <c r="D73" s="594" t="s">
        <v>192</v>
      </c>
      <c r="E73" s="204"/>
      <c r="F73" s="645" t="str">
        <f t="shared" si="3"/>
        <v>Choose Mutual Aid Grade</v>
      </c>
      <c r="G73" s="193"/>
      <c r="H73" s="193"/>
      <c r="I73" s="195"/>
      <c r="J73" s="203"/>
      <c r="K73" s="596" t="str">
        <f>IF(G73="","",VLOOKUP(P71,Rates!B:E,3,FALSE))</f>
        <v/>
      </c>
      <c r="L73" s="648" t="str">
        <f t="shared" si="4"/>
        <v/>
      </c>
      <c r="M73" s="538">
        <f t="shared" si="2"/>
        <v>0</v>
      </c>
      <c r="N73" s="200" t="str">
        <f t="shared" si="5"/>
        <v/>
      </c>
      <c r="P73" s="97" t="str">
        <f t="shared" si="6"/>
        <v>Choose Mutual Aid GradePlease Choose</v>
      </c>
      <c r="Q73" s="97"/>
    </row>
    <row r="74" spans="2:17">
      <c r="B74" s="592"/>
      <c r="C74" s="593"/>
      <c r="D74" s="594" t="s">
        <v>192</v>
      </c>
      <c r="E74" s="204"/>
      <c r="F74" s="645" t="str">
        <f t="shared" si="3"/>
        <v>Choose Mutual Aid Grade</v>
      </c>
      <c r="G74" s="193"/>
      <c r="H74" s="193"/>
      <c r="I74" s="195"/>
      <c r="J74" s="203"/>
      <c r="K74" s="596" t="str">
        <f>IF(G74="","",VLOOKUP(P72,Rates!B:E,3,FALSE))</f>
        <v/>
      </c>
      <c r="L74" s="648" t="str">
        <f t="shared" si="4"/>
        <v/>
      </c>
      <c r="M74" s="538">
        <f t="shared" si="2"/>
        <v>0</v>
      </c>
      <c r="N74" s="200" t="str">
        <f t="shared" si="5"/>
        <v/>
      </c>
      <c r="P74" s="97" t="str">
        <f t="shared" si="6"/>
        <v>Choose Mutual Aid GradePlease Choose</v>
      </c>
      <c r="Q74" s="97"/>
    </row>
    <row r="75" spans="2:17">
      <c r="B75" s="592"/>
      <c r="C75" s="593"/>
      <c r="D75" s="594" t="s">
        <v>192</v>
      </c>
      <c r="E75" s="204"/>
      <c r="F75" s="645" t="str">
        <f t="shared" si="3"/>
        <v>Choose Mutual Aid Grade</v>
      </c>
      <c r="G75" s="193"/>
      <c r="H75" s="193"/>
      <c r="I75" s="195"/>
      <c r="J75" s="203"/>
      <c r="K75" s="596" t="str">
        <f>IF(G75="","",VLOOKUP(P73,Rates!B:E,3,FALSE))</f>
        <v/>
      </c>
      <c r="L75" s="648" t="str">
        <f t="shared" si="4"/>
        <v/>
      </c>
      <c r="M75" s="538">
        <f t="shared" si="2"/>
        <v>0</v>
      </c>
      <c r="N75" s="200" t="str">
        <f t="shared" si="5"/>
        <v/>
      </c>
      <c r="P75" s="97" t="str">
        <f t="shared" si="6"/>
        <v>Choose Mutual Aid GradePlease Choose</v>
      </c>
      <c r="Q75" s="97"/>
    </row>
    <row r="76" spans="2:17" ht="16.5" thickBot="1">
      <c r="B76" s="597"/>
      <c r="C76" s="598"/>
      <c r="D76" s="599" t="s">
        <v>192</v>
      </c>
      <c r="E76" s="208"/>
      <c r="F76" s="646" t="str">
        <f t="shared" si="3"/>
        <v>Choose Mutual Aid Grade</v>
      </c>
      <c r="G76" s="210"/>
      <c r="H76" s="210"/>
      <c r="I76" s="212"/>
      <c r="J76" s="203"/>
      <c r="K76" s="600" t="str">
        <f>IF(G76="","",VLOOKUP(P74,Rates!B:E,3,FALSE))</f>
        <v/>
      </c>
      <c r="L76" s="649" t="str">
        <f t="shared" si="4"/>
        <v/>
      </c>
      <c r="M76" s="539">
        <f t="shared" si="2"/>
        <v>0</v>
      </c>
      <c r="N76" s="215" t="str">
        <f t="shared" si="5"/>
        <v/>
      </c>
      <c r="P76" s="97" t="str">
        <f t="shared" si="6"/>
        <v>Choose Mutual Aid GradePlease Choose</v>
      </c>
    </row>
    <row r="77" spans="2:17" ht="16.5" thickBot="1">
      <c r="B77" s="203"/>
      <c r="C77" s="203"/>
      <c r="D77" s="203"/>
      <c r="E77" s="203"/>
      <c r="F77" s="203"/>
      <c r="G77" s="203"/>
      <c r="H77" s="203"/>
      <c r="I77" s="203"/>
      <c r="J77" s="213"/>
      <c r="K77" s="316"/>
      <c r="L77" s="719" t="s">
        <v>270</v>
      </c>
      <c r="M77" s="753"/>
      <c r="N77" s="217">
        <f>SUM(N69:N76)</f>
        <v>0</v>
      </c>
    </row>
    <row r="78" spans="2:17" ht="16.5" thickBot="1">
      <c r="B78" s="203"/>
      <c r="C78" s="203"/>
      <c r="D78" s="203"/>
      <c r="E78" s="203"/>
      <c r="F78" s="203"/>
      <c r="G78" s="203"/>
      <c r="H78" s="203"/>
      <c r="I78" s="203"/>
      <c r="J78" s="213"/>
      <c r="K78" s="601"/>
      <c r="L78" s="638"/>
      <c r="M78" s="638"/>
      <c r="N78" s="639"/>
    </row>
    <row r="79" spans="2:17" ht="18.75" customHeight="1">
      <c r="B79" s="779" t="s">
        <v>364</v>
      </c>
      <c r="C79" s="780"/>
      <c r="D79" s="780"/>
      <c r="E79" s="780"/>
      <c r="F79" s="780"/>
      <c r="G79" s="780"/>
      <c r="H79" s="780"/>
      <c r="I79" s="781"/>
      <c r="J79" s="224"/>
      <c r="K79" s="723" t="s">
        <v>363</v>
      </c>
      <c r="L79" s="724"/>
      <c r="M79" s="724"/>
      <c r="N79" s="724"/>
      <c r="O79" s="725"/>
    </row>
    <row r="80" spans="2:17" ht="19.5" thickBot="1">
      <c r="B80" s="782"/>
      <c r="C80" s="783"/>
      <c r="D80" s="783"/>
      <c r="E80" s="783"/>
      <c r="F80" s="783"/>
      <c r="G80" s="783"/>
      <c r="H80" s="783"/>
      <c r="I80" s="784"/>
      <c r="J80" s="224"/>
      <c r="K80" s="726"/>
      <c r="L80" s="727"/>
      <c r="M80" s="727"/>
      <c r="N80" s="727"/>
      <c r="O80" s="728"/>
    </row>
    <row r="81" spans="2:19" ht="51.75" thickBot="1">
      <c r="B81" s="226" t="s">
        <v>0</v>
      </c>
      <c r="C81" s="226" t="s">
        <v>1</v>
      </c>
      <c r="D81" s="227" t="s">
        <v>232</v>
      </c>
      <c r="E81" s="227" t="s">
        <v>223</v>
      </c>
      <c r="F81" s="227" t="s">
        <v>204</v>
      </c>
      <c r="G81" s="227" t="s">
        <v>416</v>
      </c>
      <c r="H81" s="227" t="s">
        <v>227</v>
      </c>
      <c r="I81" s="227" t="s">
        <v>311</v>
      </c>
      <c r="J81" s="228"/>
      <c r="K81" s="540" t="s">
        <v>228</v>
      </c>
      <c r="L81" s="229" t="s">
        <v>413</v>
      </c>
      <c r="M81" s="540" t="s">
        <v>229</v>
      </c>
      <c r="N81" s="541" t="s">
        <v>230</v>
      </c>
      <c r="O81" s="231" t="s">
        <v>318</v>
      </c>
    </row>
    <row r="82" spans="2:19">
      <c r="B82" s="263"/>
      <c r="C82" s="189"/>
      <c r="D82" s="234" t="s">
        <v>192</v>
      </c>
      <c r="E82" s="235"/>
      <c r="F82" s="236"/>
      <c r="G82" s="236"/>
      <c r="H82" s="542" t="str">
        <f>IF(D82="please Choose"," ",VLOOKUP(D82,Equipment!$B$43:$C$49,2,FALSE))</f>
        <v xml:space="preserve"> </v>
      </c>
      <c r="I82" s="238"/>
      <c r="J82" s="213"/>
      <c r="K82" s="239" t="str">
        <f>IF($D82="Basic Overnight",(F82*G82*H82),IF($D82="Enhanced Overnight/Hardship",(F82*G82*VLOOKUP("Basic Overnight",Equipment!$B$43:$C$49,2,FALSE)),""))</f>
        <v/>
      </c>
      <c r="L82" s="241" t="str">
        <f>IFERROR(VLOOKUP(D82,Equipment!$B$46:$C$47,2,FALSE)*F82*G82," ")</f>
        <v xml:space="preserve"> </v>
      </c>
      <c r="M82" s="241" t="str">
        <f>IF($D82="Hardship Only",(F82*G82*H82),IF($D82="Enhanced Overnight/Hardship",(F82*G82*VLOOKUP("Hardship Only",Equipment!$B$43:$C$49,2,FALSE)),""))</f>
        <v/>
      </c>
      <c r="N82" s="242" t="str">
        <f t="shared" ref="N82:N90" si="7">IF($I82="","",(F82*I82))</f>
        <v/>
      </c>
      <c r="O82" s="243" t="str">
        <f t="shared" ref="O82:O90" si="8">IF(G82="","",(SUM(K82:N82)*1.138))</f>
        <v/>
      </c>
    </row>
    <row r="83" spans="2:19">
      <c r="B83" s="188"/>
      <c r="C83" s="189"/>
      <c r="D83" s="234" t="s">
        <v>192</v>
      </c>
      <c r="E83" s="189"/>
      <c r="F83" s="245"/>
      <c r="G83" s="245"/>
      <c r="H83" s="542" t="str">
        <f>IF(D83="please Choose"," ",VLOOKUP(D83,Equipment!$B$43:$C$49,2,FALSE))</f>
        <v xml:space="preserve"> </v>
      </c>
      <c r="I83" s="238"/>
      <c r="J83" s="213"/>
      <c r="K83" s="197" t="str">
        <f>IF($D83="Basic Overnight",(F83*G83*H83),IF($D83="Enhanced Overnight/Hardship",(F83*G83*VLOOKUP("Basic Overnight",Equipment!$B$43:$C$49,2,FALSE)),""))</f>
        <v/>
      </c>
      <c r="L83" s="240" t="str">
        <f>IFERROR(VLOOKUP(D83,Equipment!$B$46:$C$47,2,FALSE)*F83*G83," ")</f>
        <v xml:space="preserve"> </v>
      </c>
      <c r="M83" s="240" t="str">
        <f>IF($D83="Hardship Only",(F83*G83*H83),IF($D83="Enhanced Overnight/Hardship",(F83*G83*VLOOKUP("Hardship Only",Equipment!$B$43:$C$49,2,FALSE)),""))</f>
        <v/>
      </c>
      <c r="N83" s="246" t="str">
        <f t="shared" si="7"/>
        <v/>
      </c>
      <c r="O83" s="247" t="str">
        <f t="shared" si="8"/>
        <v/>
      </c>
    </row>
    <row r="84" spans="2:19">
      <c r="B84" s="188"/>
      <c r="C84" s="189"/>
      <c r="D84" s="234" t="s">
        <v>192</v>
      </c>
      <c r="E84" s="189"/>
      <c r="F84" s="245"/>
      <c r="G84" s="245"/>
      <c r="H84" s="542" t="str">
        <f>IF(D84="please Choose"," ",VLOOKUP(D84,Equipment!$B$43:$C$49,2,FALSE))</f>
        <v xml:space="preserve"> </v>
      </c>
      <c r="I84" s="238"/>
      <c r="J84" s="213"/>
      <c r="K84" s="197" t="str">
        <f>IF($D84="Basic Overnight",(F84*G84*H84),IF($D84="Enhanced Overnight/Hardship",(F84*G84*VLOOKUP("Basic Overnight",Equipment!$B$43:$C$49,2,FALSE)),""))</f>
        <v/>
      </c>
      <c r="L84" s="240" t="str">
        <f>IFERROR(VLOOKUP(D84,Equipment!$B$46:$C$47,2,FALSE)*F84*G84," ")</f>
        <v xml:space="preserve"> </v>
      </c>
      <c r="M84" s="240" t="str">
        <f>IF($D84="Hardship Only",(F84*G84*H84),IF($D84="Enhanced Overnight/Hardship",(F84*G84*VLOOKUP("Hardship Only",Equipment!$B$43:$C$49,2,FALSE)),""))</f>
        <v/>
      </c>
      <c r="N84" s="246" t="str">
        <f t="shared" si="7"/>
        <v/>
      </c>
      <c r="O84" s="247" t="str">
        <f t="shared" si="8"/>
        <v/>
      </c>
    </row>
    <row r="85" spans="2:19" ht="16.5" customHeight="1">
      <c r="B85" s="188"/>
      <c r="C85" s="189"/>
      <c r="D85" s="234" t="s">
        <v>192</v>
      </c>
      <c r="E85" s="189"/>
      <c r="F85" s="245"/>
      <c r="G85" s="245"/>
      <c r="H85" s="542" t="str">
        <f>IF(D85="please Choose"," ",VLOOKUP(D85,Equipment!$B$43:$C$49,2,FALSE))</f>
        <v xml:space="preserve"> </v>
      </c>
      <c r="I85" s="238"/>
      <c r="J85" s="213"/>
      <c r="K85" s="197" t="str">
        <f>IF($D85="Basic Overnight",(F85*G85*H85),IF($D85="Enhanced Overnight/Hardship",(F85*G85*VLOOKUP("Basic Overnight",Equipment!$B$43:$C$49,2,FALSE)),""))</f>
        <v/>
      </c>
      <c r="L85" s="240" t="str">
        <f>IFERROR(VLOOKUP(D85,Equipment!$B$46:$C$47,2,FALSE)*F85*G85," ")</f>
        <v xml:space="preserve"> </v>
      </c>
      <c r="M85" s="240" t="str">
        <f>IF($D85="Hardship Only",(F85*G85*H85),IF($D85="Enhanced Overnight/Hardship",(F85*G85*VLOOKUP("Hardship Only",Equipment!$B$43:$C$49,2,FALSE)),""))</f>
        <v/>
      </c>
      <c r="N85" s="246" t="str">
        <f t="shared" si="7"/>
        <v/>
      </c>
      <c r="O85" s="247" t="str">
        <f t="shared" si="8"/>
        <v/>
      </c>
    </row>
    <row r="86" spans="2:19">
      <c r="B86" s="188"/>
      <c r="C86" s="189"/>
      <c r="D86" s="234" t="s">
        <v>192</v>
      </c>
      <c r="E86" s="189"/>
      <c r="F86" s="245"/>
      <c r="G86" s="245"/>
      <c r="H86" s="542" t="str">
        <f>IF(D86="please Choose"," ",VLOOKUP(D86,Equipment!$B$43:$C$49,2,FALSE))</f>
        <v xml:space="preserve"> </v>
      </c>
      <c r="I86" s="238"/>
      <c r="J86" s="213"/>
      <c r="K86" s="197" t="str">
        <f>IF($D86="Basic Overnight",(F86*G86*H86),IF($D86="Enhanced Overnight/Hardship",(F86*G86*VLOOKUP("Basic Overnight",Equipment!$B$43:$C$49,2,FALSE)),""))</f>
        <v/>
      </c>
      <c r="L86" s="240" t="str">
        <f>IFERROR(VLOOKUP(D86,Equipment!$B$46:$C$47,2,FALSE)*F86*G86," ")</f>
        <v xml:space="preserve"> </v>
      </c>
      <c r="M86" s="240" t="str">
        <f>IF($D86="Hardship Only",(F86*G86*H86),IF($D86="Enhanced Overnight/Hardship",(F86*G86*VLOOKUP("Hardship Only",Equipment!$B$43:$C$49,2,FALSE)),""))</f>
        <v/>
      </c>
      <c r="N86" s="246" t="str">
        <f t="shared" si="7"/>
        <v/>
      </c>
      <c r="O86" s="247" t="str">
        <f t="shared" si="8"/>
        <v/>
      </c>
    </row>
    <row r="87" spans="2:19" ht="16.5" customHeight="1">
      <c r="B87" s="188"/>
      <c r="C87" s="189"/>
      <c r="D87" s="234" t="s">
        <v>192</v>
      </c>
      <c r="E87" s="189"/>
      <c r="F87" s="245"/>
      <c r="G87" s="245"/>
      <c r="H87" s="542" t="str">
        <f>IF(D87="please Choose"," ",VLOOKUP(D87,Equipment!$B$43:$C$49,2,FALSE))</f>
        <v xml:space="preserve"> </v>
      </c>
      <c r="I87" s="238"/>
      <c r="J87" s="213"/>
      <c r="K87" s="197" t="str">
        <f>IF($D87="Basic Overnight",(F87*G87*H87),IF($D87="Enhanced Overnight/Hardship",(F87*G87*VLOOKUP("Basic Overnight",Equipment!$B$43:$C$49,2,FALSE)),""))</f>
        <v/>
      </c>
      <c r="L87" s="240" t="str">
        <f>IFERROR(VLOOKUP(D87,Equipment!$B$46:$C$47,2,FALSE)*F87*G87," ")</f>
        <v xml:space="preserve"> </v>
      </c>
      <c r="M87" s="240" t="str">
        <f>IF($D87="Hardship Only",(F87*G87*H87),IF($D87="Enhanced Overnight/Hardship",(F87*G87*VLOOKUP("Hardship Only",Equipment!$B$43:$C$49,2,FALSE)),""))</f>
        <v/>
      </c>
      <c r="N87" s="246" t="str">
        <f t="shared" si="7"/>
        <v/>
      </c>
      <c r="O87" s="247" t="str">
        <f t="shared" si="8"/>
        <v/>
      </c>
      <c r="P87" s="559"/>
      <c r="Q87" s="559"/>
      <c r="R87" s="559"/>
      <c r="S87" s="559"/>
    </row>
    <row r="88" spans="2:19">
      <c r="B88" s="188"/>
      <c r="C88" s="189"/>
      <c r="D88" s="234" t="s">
        <v>192</v>
      </c>
      <c r="E88" s="189"/>
      <c r="F88" s="245"/>
      <c r="G88" s="245"/>
      <c r="H88" s="542" t="str">
        <f>IF(D88="please Choose"," ",VLOOKUP(D88,Equipment!$B$43:$C$49,2,FALSE))</f>
        <v xml:space="preserve"> </v>
      </c>
      <c r="I88" s="238"/>
      <c r="J88" s="213"/>
      <c r="K88" s="197" t="str">
        <f>IF($D88="Basic Overnight",(F88*G88*H88),IF($D88="Enhanced Overnight/Hardship",(F88*G88*VLOOKUP("Basic Overnight",Equipment!$B$43:$C$49,2,FALSE)),""))</f>
        <v/>
      </c>
      <c r="L88" s="240" t="str">
        <f>IFERROR(VLOOKUP(D88,Equipment!$B$46:$C$47,2,FALSE)*F88*G88," ")</f>
        <v xml:space="preserve"> </v>
      </c>
      <c r="M88" s="240" t="str">
        <f>IF($D88="Hardship Only",(F88*G88*H88),IF($D88="Enhanced Overnight/Hardship",(F88*G88*VLOOKUP("Hardship Only",Equipment!$B$43:$C$49,2,FALSE)),""))</f>
        <v/>
      </c>
      <c r="N88" s="246" t="str">
        <f t="shared" si="7"/>
        <v/>
      </c>
      <c r="O88" s="247" t="str">
        <f t="shared" si="8"/>
        <v/>
      </c>
    </row>
    <row r="89" spans="2:19">
      <c r="B89" s="543"/>
      <c r="C89" s="189"/>
      <c r="D89" s="234" t="s">
        <v>192</v>
      </c>
      <c r="E89" s="189"/>
      <c r="F89" s="245"/>
      <c r="G89" s="245"/>
      <c r="H89" s="542" t="str">
        <f>IF(D89="please Choose"," ",VLOOKUP(D89,Equipment!$B$43:$C$49,2,FALSE))</f>
        <v xml:space="preserve"> </v>
      </c>
      <c r="I89" s="238"/>
      <c r="J89" s="213"/>
      <c r="K89" s="197" t="str">
        <f>IF($D89="Basic Overnight",(F89*G89*H89),IF($D89="Enhanced Overnight/Hardship",(F89*G89*VLOOKUP("Basic Overnight",Equipment!$B$43:$C$49,2,FALSE)),""))</f>
        <v/>
      </c>
      <c r="L89" s="240" t="str">
        <f>IFERROR(VLOOKUP(D89,Equipment!$B$46:$C$47,2,FALSE)*F89*G89," ")</f>
        <v xml:space="preserve"> </v>
      </c>
      <c r="M89" s="240" t="str">
        <f>IF($D89="Hardship Only",(F89*G89*H89),IF($D89="Enhanced Overnight/Hardship",(F89*G89*VLOOKUP("Hardship Only",Equipment!$B$43:$C$49,2,FALSE)),""))</f>
        <v/>
      </c>
      <c r="N89" s="246" t="str">
        <f t="shared" si="7"/>
        <v/>
      </c>
      <c r="O89" s="247" t="str">
        <f t="shared" si="8"/>
        <v/>
      </c>
    </row>
    <row r="90" spans="2:19" ht="16.5" thickBot="1">
      <c r="B90" s="544"/>
      <c r="C90" s="206"/>
      <c r="D90" s="248" t="s">
        <v>192</v>
      </c>
      <c r="E90" s="206"/>
      <c r="F90" s="249"/>
      <c r="G90" s="249"/>
      <c r="H90" s="545" t="str">
        <f>IF(D90="please Choose"," ",VLOOKUP(D90,Equipment!$B$43:$C$49,2,FALSE))</f>
        <v xml:space="preserve"> </v>
      </c>
      <c r="I90" s="251"/>
      <c r="J90" s="213"/>
      <c r="K90" s="214" t="str">
        <f>IF($D90="Basic Overnight",(F90*G90*H90),IF($D90="Enhanced Overnight/Hardship",(F90*G90*VLOOKUP("Basic Overnight",Equipment!$B$43:$C$49,2,FALSE)),""))</f>
        <v/>
      </c>
      <c r="L90" s="252" t="str">
        <f>IFERROR(VLOOKUP(D90,Equipment!$B$46:$C$47,2,FALSE)*F90*G90," ")</f>
        <v xml:space="preserve"> </v>
      </c>
      <c r="M90" s="252" t="str">
        <f>IF($D90="Hardship Only",(F90*G90*H90),IF($D90="Enhanced Overnight/Hardship",(F90*G90*VLOOKUP("Hardship Only",Equipment!$B$43:$C$49,2,FALSE)),""))</f>
        <v/>
      </c>
      <c r="N90" s="253" t="str">
        <f t="shared" si="7"/>
        <v/>
      </c>
      <c r="O90" s="254" t="str">
        <f t="shared" si="8"/>
        <v/>
      </c>
    </row>
    <row r="91" spans="2:19" ht="16.5" thickBot="1">
      <c r="B91" s="255"/>
      <c r="C91" s="255"/>
      <c r="D91" s="255"/>
      <c r="E91" s="255"/>
      <c r="F91" s="255"/>
      <c r="G91" s="255"/>
      <c r="H91" s="255"/>
      <c r="I91" s="255"/>
      <c r="J91" s="256"/>
      <c r="K91" s="257"/>
      <c r="L91" s="959" t="s">
        <v>336</v>
      </c>
      <c r="M91" s="960"/>
      <c r="N91" s="310">
        <f>SUM(O82:O90)</f>
        <v>0</v>
      </c>
    </row>
    <row r="92" spans="2:19" ht="16.5" thickBot="1">
      <c r="B92" s="255"/>
      <c r="C92" s="255"/>
      <c r="D92" s="255"/>
      <c r="E92" s="255"/>
      <c r="F92" s="255"/>
      <c r="G92" s="255"/>
      <c r="H92" s="255"/>
      <c r="I92" s="255"/>
      <c r="J92" s="256"/>
      <c r="K92" s="257"/>
      <c r="L92" s="602"/>
      <c r="M92" s="602"/>
      <c r="N92" s="603"/>
    </row>
    <row r="93" spans="2:19" ht="18.75">
      <c r="B93" s="754" t="s">
        <v>362</v>
      </c>
      <c r="C93" s="755"/>
      <c r="D93" s="755"/>
      <c r="E93" s="755"/>
      <c r="F93" s="755"/>
      <c r="G93" s="755"/>
      <c r="H93" s="755"/>
      <c r="I93" s="756"/>
      <c r="J93" s="224"/>
      <c r="K93" s="723" t="s">
        <v>361</v>
      </c>
      <c r="L93" s="724"/>
      <c r="M93" s="724"/>
      <c r="N93" s="725"/>
    </row>
    <row r="94" spans="2:19" ht="19.5" thickBot="1">
      <c r="B94" s="757"/>
      <c r="C94" s="758"/>
      <c r="D94" s="758"/>
      <c r="E94" s="758"/>
      <c r="F94" s="758"/>
      <c r="G94" s="758"/>
      <c r="H94" s="758"/>
      <c r="I94" s="759"/>
      <c r="J94" s="224"/>
      <c r="K94" s="726"/>
      <c r="L94" s="727"/>
      <c r="M94" s="727"/>
      <c r="N94" s="728"/>
    </row>
    <row r="95" spans="2:19" ht="26.25" thickBot="1">
      <c r="B95" s="604" t="s">
        <v>0</v>
      </c>
      <c r="C95" s="183" t="s">
        <v>1</v>
      </c>
      <c r="D95" s="261" t="s">
        <v>260</v>
      </c>
      <c r="E95" s="731" t="s">
        <v>223</v>
      </c>
      <c r="F95" s="732"/>
      <c r="G95" s="261" t="s">
        <v>240</v>
      </c>
      <c r="H95" s="261" t="s">
        <v>241</v>
      </c>
      <c r="I95" s="261" t="s">
        <v>242</v>
      </c>
      <c r="J95" s="228"/>
      <c r="K95" s="605" t="s">
        <v>300</v>
      </c>
      <c r="L95" s="719"/>
      <c r="M95" s="720"/>
      <c r="N95" s="606" t="s">
        <v>231</v>
      </c>
    </row>
    <row r="96" spans="2:19">
      <c r="B96" s="607"/>
      <c r="C96" s="608"/>
      <c r="D96" s="609" t="s">
        <v>239</v>
      </c>
      <c r="E96" s="707"/>
      <c r="F96" s="918"/>
      <c r="G96" s="610"/>
      <c r="H96" s="611"/>
      <c r="I96" s="612" t="str">
        <f>IF(G96="","",VLOOKUP(D96,Equipment!$B$72:$C$74,2,FALSE))</f>
        <v/>
      </c>
      <c r="J96" s="213"/>
      <c r="K96" s="613" t="str">
        <f>IF(G96="","",I96*H96*G96)</f>
        <v/>
      </c>
      <c r="L96" s="614"/>
      <c r="M96" s="615"/>
      <c r="N96" s="616" t="str">
        <f>IF(G96="","",(SUM(K96)))</f>
        <v/>
      </c>
    </row>
    <row r="97" spans="2:14">
      <c r="B97" s="617"/>
      <c r="C97" s="618"/>
      <c r="D97" s="619" t="s">
        <v>239</v>
      </c>
      <c r="E97" s="739"/>
      <c r="F97" s="919"/>
      <c r="G97" s="620"/>
      <c r="H97" s="620"/>
      <c r="I97" s="621" t="str">
        <f>IF(G97="","",VLOOKUP(D97,Equipment!$B$72:$C$74,2,FALSE))</f>
        <v/>
      </c>
      <c r="J97" s="213"/>
      <c r="K97" s="622" t="str">
        <f>IF(G97="","",I97*H97*G97)</f>
        <v/>
      </c>
      <c r="L97" s="623"/>
      <c r="M97" s="624"/>
      <c r="N97" s="616" t="str">
        <f>IF(G97="","",(SUM(K97)))</f>
        <v/>
      </c>
    </row>
    <row r="98" spans="2:14" ht="16.5" thickBot="1">
      <c r="B98" s="625"/>
      <c r="C98" s="626"/>
      <c r="D98" s="627" t="s">
        <v>239</v>
      </c>
      <c r="E98" s="837"/>
      <c r="F98" s="922"/>
      <c r="G98" s="628"/>
      <c r="H98" s="628"/>
      <c r="I98" s="629" t="str">
        <f>IF(G98="","",VLOOKUP(D98,Equipment!$B$72:$C$74,2,FALSE))</f>
        <v/>
      </c>
      <c r="J98" s="213"/>
      <c r="K98" s="630" t="str">
        <f>IF(G98="","",I98*H98*G98)</f>
        <v/>
      </c>
      <c r="L98" s="631"/>
      <c r="M98" s="632"/>
      <c r="N98" s="633" t="str">
        <f>IF(G98="","",(SUM(K98)))</f>
        <v/>
      </c>
    </row>
    <row r="99" spans="2:14" ht="16.5" thickBot="1">
      <c r="B99" s="634"/>
      <c r="C99" s="760"/>
      <c r="D99" s="760"/>
      <c r="E99" s="760"/>
      <c r="F99" s="760"/>
      <c r="G99" s="760"/>
      <c r="H99" s="760"/>
      <c r="I99" s="760"/>
      <c r="J99" s="213"/>
      <c r="K99" s="259"/>
      <c r="L99" s="916" t="s">
        <v>274</v>
      </c>
      <c r="M99" s="917"/>
      <c r="N99" s="635">
        <f>SUM(N96:N98)</f>
        <v>0</v>
      </c>
    </row>
    <row r="100" spans="2:14" ht="16.5" thickBot="1">
      <c r="B100" s="203"/>
      <c r="C100" s="203"/>
      <c r="D100" s="203"/>
      <c r="E100" s="203"/>
      <c r="F100" s="203"/>
      <c r="G100" s="203"/>
      <c r="H100" s="203"/>
      <c r="I100" s="203"/>
      <c r="J100" s="213"/>
      <c r="K100" s="601"/>
      <c r="L100" s="636"/>
      <c r="M100" s="636"/>
      <c r="N100" s="637"/>
    </row>
    <row r="101" spans="2:14" ht="18.75">
      <c r="B101" s="754" t="s">
        <v>385</v>
      </c>
      <c r="C101" s="755"/>
      <c r="D101" s="755"/>
      <c r="E101" s="755"/>
      <c r="F101" s="755"/>
      <c r="G101" s="755"/>
      <c r="H101" s="755"/>
      <c r="I101" s="756"/>
      <c r="J101" s="294"/>
      <c r="K101" s="723" t="s">
        <v>360</v>
      </c>
      <c r="L101" s="724"/>
      <c r="M101" s="724"/>
      <c r="N101" s="725"/>
    </row>
    <row r="102" spans="2:14" ht="19.5" thickBot="1">
      <c r="B102" s="757"/>
      <c r="C102" s="758"/>
      <c r="D102" s="758"/>
      <c r="E102" s="758"/>
      <c r="F102" s="758"/>
      <c r="G102" s="758"/>
      <c r="H102" s="758"/>
      <c r="I102" s="759"/>
      <c r="J102" s="294"/>
      <c r="K102" s="726"/>
      <c r="L102" s="727"/>
      <c r="M102" s="727"/>
      <c r="N102" s="728"/>
    </row>
    <row r="103" spans="2:14" ht="37.9" customHeight="1" thickBot="1">
      <c r="B103" s="183" t="s">
        <v>0</v>
      </c>
      <c r="C103" s="183" t="s">
        <v>1</v>
      </c>
      <c r="D103" s="183" t="s">
        <v>233</v>
      </c>
      <c r="E103" s="183" t="s">
        <v>223</v>
      </c>
      <c r="F103" s="183" t="s">
        <v>4</v>
      </c>
      <c r="G103" s="183" t="s">
        <v>201</v>
      </c>
      <c r="H103" s="183" t="s">
        <v>200</v>
      </c>
      <c r="I103" s="184" t="s">
        <v>197</v>
      </c>
      <c r="J103" s="295"/>
      <c r="K103" s="296" t="s">
        <v>198</v>
      </c>
      <c r="L103" s="296" t="s">
        <v>221</v>
      </c>
      <c r="M103" s="296" t="s">
        <v>222</v>
      </c>
      <c r="N103" s="297" t="s">
        <v>199</v>
      </c>
    </row>
    <row r="104" spans="2:14">
      <c r="B104" s="188"/>
      <c r="C104" s="189"/>
      <c r="D104" s="234" t="s">
        <v>192</v>
      </c>
      <c r="E104" s="189"/>
      <c r="F104" s="193"/>
      <c r="G104" s="274"/>
      <c r="H104" s="193"/>
      <c r="I104" s="298" t="str">
        <f>IF(G104="","",VLOOKUP($D104,Equipment!$B$21:$E$31,2,FALSE))</f>
        <v/>
      </c>
      <c r="J104" s="299"/>
      <c r="K104" s="300" t="str">
        <f>IF(G104="","",VLOOKUP($D104,Equipment!$B$21:$E$31,4,FALSE))</f>
        <v/>
      </c>
      <c r="L104" s="301" t="str">
        <f>IF($G104="","",$H104*$K104)</f>
        <v/>
      </c>
      <c r="M104" s="302" t="str">
        <f t="shared" ref="M104:M112" si="9">IF($G104="","",$I104*$G104*$F104)</f>
        <v/>
      </c>
      <c r="N104" s="200" t="str">
        <f>IF(I104="","",L104+M104)</f>
        <v/>
      </c>
    </row>
    <row r="105" spans="2:14">
      <c r="B105" s="188"/>
      <c r="C105" s="189"/>
      <c r="D105" s="234" t="s">
        <v>192</v>
      </c>
      <c r="E105" s="189"/>
      <c r="F105" s="193"/>
      <c r="G105" s="274"/>
      <c r="H105" s="193"/>
      <c r="I105" s="298" t="str">
        <f>IF(G105="","",VLOOKUP($D105,Equipment!$B$21:$E$31,2,FALSE))</f>
        <v/>
      </c>
      <c r="J105" s="299"/>
      <c r="K105" s="300" t="str">
        <f>IF(G105="","",VLOOKUP($D105,Equipment!$B$21:$E$31,4,FALSE))</f>
        <v/>
      </c>
      <c r="L105" s="301" t="str">
        <f t="shared" ref="L105:L112" si="10">IF(G105="","",H105*K105)</f>
        <v/>
      </c>
      <c r="M105" s="303" t="str">
        <f t="shared" si="9"/>
        <v/>
      </c>
      <c r="N105" s="200" t="str">
        <f t="shared" ref="N105:N112" si="11">IF(I105="","",L105+M105)</f>
        <v/>
      </c>
    </row>
    <row r="106" spans="2:14">
      <c r="B106" s="188"/>
      <c r="C106" s="189"/>
      <c r="D106" s="234" t="s">
        <v>192</v>
      </c>
      <c r="E106" s="189"/>
      <c r="F106" s="193"/>
      <c r="G106" s="274"/>
      <c r="H106" s="193"/>
      <c r="I106" s="298" t="str">
        <f>IF(G106="","",VLOOKUP($D106,Equipment!$B$21:$E$31,2,FALSE))</f>
        <v/>
      </c>
      <c r="J106" s="299"/>
      <c r="K106" s="300" t="str">
        <f>IF(G106="","",VLOOKUP($D106,Equipment!$B$21:$E$31,4,FALSE))</f>
        <v/>
      </c>
      <c r="L106" s="301" t="str">
        <f t="shared" si="10"/>
        <v/>
      </c>
      <c r="M106" s="303" t="str">
        <f t="shared" si="9"/>
        <v/>
      </c>
      <c r="N106" s="200" t="str">
        <f t="shared" si="11"/>
        <v/>
      </c>
    </row>
    <row r="107" spans="2:14">
      <c r="B107" s="188"/>
      <c r="C107" s="189"/>
      <c r="D107" s="234" t="s">
        <v>192</v>
      </c>
      <c r="E107" s="189"/>
      <c r="F107" s="193"/>
      <c r="G107" s="274"/>
      <c r="H107" s="193"/>
      <c r="I107" s="298" t="str">
        <f>IF(G107="","",VLOOKUP($D107,Equipment!$B$21:$E$31,2,FALSE))</f>
        <v/>
      </c>
      <c r="J107" s="299"/>
      <c r="K107" s="300" t="str">
        <f>IF(G107="","",VLOOKUP($D107,Equipment!$B$21:$E$31,4,FALSE))</f>
        <v/>
      </c>
      <c r="L107" s="301" t="str">
        <f t="shared" si="10"/>
        <v/>
      </c>
      <c r="M107" s="303" t="str">
        <f t="shared" si="9"/>
        <v/>
      </c>
      <c r="N107" s="200" t="str">
        <f t="shared" si="11"/>
        <v/>
      </c>
    </row>
    <row r="108" spans="2:14">
      <c r="B108" s="188"/>
      <c r="C108" s="189"/>
      <c r="D108" s="234" t="s">
        <v>192</v>
      </c>
      <c r="E108" s="189"/>
      <c r="F108" s="193"/>
      <c r="G108" s="274"/>
      <c r="H108" s="193"/>
      <c r="I108" s="298" t="str">
        <f>IF(G108="","",VLOOKUP($D108,Equipment!$B$21:$E$31,2,FALSE))</f>
        <v/>
      </c>
      <c r="J108" s="299"/>
      <c r="K108" s="300" t="str">
        <f>IF(G108="","",VLOOKUP($D108,Equipment!$B$21:$E$31,4,FALSE))</f>
        <v/>
      </c>
      <c r="L108" s="301" t="str">
        <f t="shared" si="10"/>
        <v/>
      </c>
      <c r="M108" s="303" t="str">
        <f t="shared" si="9"/>
        <v/>
      </c>
      <c r="N108" s="200" t="str">
        <f t="shared" si="11"/>
        <v/>
      </c>
    </row>
    <row r="109" spans="2:14">
      <c r="B109" s="188"/>
      <c r="C109" s="189"/>
      <c r="D109" s="234" t="s">
        <v>192</v>
      </c>
      <c r="E109" s="189"/>
      <c r="F109" s="193"/>
      <c r="G109" s="274"/>
      <c r="H109" s="193"/>
      <c r="I109" s="298" t="str">
        <f>IF(G109="","",VLOOKUP($D109,Equipment!$B$21:$E$31,2,FALSE))</f>
        <v/>
      </c>
      <c r="J109" s="299"/>
      <c r="K109" s="300" t="str">
        <f>IF(G109="","",VLOOKUP($D109,Equipment!$B$21:$E$31,4,FALSE))</f>
        <v/>
      </c>
      <c r="L109" s="301" t="str">
        <f t="shared" si="10"/>
        <v/>
      </c>
      <c r="M109" s="303" t="str">
        <f t="shared" si="9"/>
        <v/>
      </c>
      <c r="N109" s="200" t="str">
        <f t="shared" si="11"/>
        <v/>
      </c>
    </row>
    <row r="110" spans="2:14">
      <c r="B110" s="188"/>
      <c r="C110" s="189"/>
      <c r="D110" s="234" t="s">
        <v>192</v>
      </c>
      <c r="E110" s="189"/>
      <c r="F110" s="193"/>
      <c r="G110" s="274"/>
      <c r="H110" s="193"/>
      <c r="I110" s="298" t="str">
        <f>IF(G110="","",VLOOKUP($D110,Equipment!$B$21:$E$31,2,FALSE))</f>
        <v/>
      </c>
      <c r="J110" s="299"/>
      <c r="K110" s="300" t="str">
        <f>IF(G110="","",VLOOKUP($D110,Equipment!$B$21:$E$31,4,FALSE))</f>
        <v/>
      </c>
      <c r="L110" s="301" t="str">
        <f t="shared" si="10"/>
        <v/>
      </c>
      <c r="M110" s="303" t="str">
        <f t="shared" si="9"/>
        <v/>
      </c>
      <c r="N110" s="200" t="str">
        <f t="shared" si="11"/>
        <v/>
      </c>
    </row>
    <row r="111" spans="2:14">
      <c r="B111" s="188"/>
      <c r="C111" s="189"/>
      <c r="D111" s="234" t="s">
        <v>192</v>
      </c>
      <c r="E111" s="189"/>
      <c r="F111" s="193"/>
      <c r="G111" s="274"/>
      <c r="H111" s="193"/>
      <c r="I111" s="298" t="str">
        <f>IF(G111="","",VLOOKUP($D111,Equipment!$B$21:$E$31,2,FALSE))</f>
        <v/>
      </c>
      <c r="J111" s="299"/>
      <c r="K111" s="300" t="str">
        <f>IF(G111="","",VLOOKUP($D111,Equipment!$B$21:$E$31,4,FALSE))</f>
        <v/>
      </c>
      <c r="L111" s="301" t="str">
        <f t="shared" si="10"/>
        <v/>
      </c>
      <c r="M111" s="303" t="str">
        <f t="shared" si="9"/>
        <v/>
      </c>
      <c r="N111" s="200" t="str">
        <f t="shared" si="11"/>
        <v/>
      </c>
    </row>
    <row r="112" spans="2:14" ht="16.5" thickBot="1">
      <c r="B112" s="205"/>
      <c r="C112" s="206"/>
      <c r="D112" s="248" t="s">
        <v>192</v>
      </c>
      <c r="E112" s="206"/>
      <c r="F112" s="210"/>
      <c r="G112" s="281"/>
      <c r="H112" s="210"/>
      <c r="I112" s="304" t="str">
        <f>IF(G112="","",VLOOKUP($D112,Equipment!$B$21:$E$31,2,FALSE))</f>
        <v/>
      </c>
      <c r="J112" s="299"/>
      <c r="K112" s="305" t="str">
        <f>IF(G112="","",VLOOKUP($D112,Equipment!$B$21:$E$31,4,FALSE))</f>
        <v/>
      </c>
      <c r="L112" s="306" t="str">
        <f t="shared" si="10"/>
        <v/>
      </c>
      <c r="M112" s="307" t="str">
        <f t="shared" si="9"/>
        <v/>
      </c>
      <c r="N112" s="215" t="str">
        <f t="shared" si="11"/>
        <v/>
      </c>
    </row>
    <row r="113" spans="2:14" ht="16.5" thickBot="1">
      <c r="B113" s="308"/>
      <c r="C113" s="308"/>
      <c r="D113" s="308"/>
      <c r="E113" s="308"/>
      <c r="F113" s="299"/>
      <c r="G113" s="299"/>
      <c r="H113" s="299"/>
      <c r="I113" s="309"/>
      <c r="J113" s="299"/>
      <c r="K113" s="257"/>
      <c r="L113" s="703" t="s">
        <v>337</v>
      </c>
      <c r="M113" s="704"/>
      <c r="N113" s="310">
        <f>SUM(N104:N112)</f>
        <v>0</v>
      </c>
    </row>
    <row r="114" spans="2:14" ht="16.5" thickBot="1">
      <c r="B114" s="308"/>
      <c r="C114" s="308"/>
      <c r="D114" s="705" t="s">
        <v>219</v>
      </c>
      <c r="E114" s="706"/>
      <c r="F114" s="311">
        <f>'MA CLAIM FORM'!F129</f>
        <v>1.39</v>
      </c>
      <c r="G114" s="299"/>
      <c r="H114" s="299"/>
      <c r="I114" s="309"/>
      <c r="J114" s="299"/>
      <c r="K114" s="257"/>
      <c r="L114" s="312"/>
      <c r="M114" s="313"/>
      <c r="N114" s="314"/>
    </row>
    <row r="115" spans="2:14" ht="16.5" thickBot="1">
      <c r="B115" s="308"/>
      <c r="C115" s="308"/>
      <c r="D115" s="705" t="s">
        <v>220</v>
      </c>
      <c r="E115" s="706"/>
      <c r="F115" s="311">
        <f>'MA CLAIM FORM'!F130</f>
        <v>1.47</v>
      </c>
      <c r="G115" s="299"/>
      <c r="H115" s="299"/>
      <c r="I115" s="309"/>
      <c r="J115" s="299"/>
      <c r="K115" s="257"/>
      <c r="L115" s="312"/>
      <c r="M115" s="313"/>
      <c r="N115" s="315"/>
    </row>
    <row r="116" spans="2:14" ht="16.5" thickBot="1">
      <c r="B116" s="218"/>
      <c r="C116" s="218"/>
      <c r="D116" s="218"/>
      <c r="E116" s="218"/>
      <c r="F116" s="218"/>
      <c r="G116" s="218"/>
      <c r="H116" s="218"/>
      <c r="I116" s="219"/>
      <c r="J116" s="213"/>
      <c r="K116" s="316"/>
      <c r="L116" s="289"/>
      <c r="M116" s="290"/>
      <c r="N116" s="317"/>
    </row>
    <row r="117" spans="2:14" ht="18.75">
      <c r="B117" s="779" t="s">
        <v>358</v>
      </c>
      <c r="C117" s="780"/>
      <c r="D117" s="780"/>
      <c r="E117" s="780"/>
      <c r="F117" s="780"/>
      <c r="G117" s="780"/>
      <c r="H117" s="780"/>
      <c r="I117" s="781"/>
      <c r="J117" s="224"/>
      <c r="K117" s="723" t="s">
        <v>359</v>
      </c>
      <c r="L117" s="724"/>
      <c r="M117" s="724"/>
      <c r="N117" s="725"/>
    </row>
    <row r="118" spans="2:14" ht="19.5" thickBot="1">
      <c r="B118" s="782"/>
      <c r="C118" s="783"/>
      <c r="D118" s="783"/>
      <c r="E118" s="783"/>
      <c r="F118" s="783"/>
      <c r="G118" s="783"/>
      <c r="H118" s="783"/>
      <c r="I118" s="784"/>
      <c r="J118" s="224"/>
      <c r="K118" s="726"/>
      <c r="L118" s="727"/>
      <c r="M118" s="727"/>
      <c r="N118" s="728"/>
    </row>
    <row r="119" spans="2:14" ht="26.25" thickBot="1">
      <c r="B119" s="226" t="s">
        <v>0</v>
      </c>
      <c r="C119" s="226" t="s">
        <v>1</v>
      </c>
      <c r="D119" s="227" t="s">
        <v>259</v>
      </c>
      <c r="E119" s="742" t="s">
        <v>223</v>
      </c>
      <c r="F119" s="743"/>
      <c r="G119" s="743"/>
      <c r="H119" s="743"/>
      <c r="I119" s="744"/>
      <c r="J119" s="228"/>
      <c r="K119" s="318" t="s">
        <v>237</v>
      </c>
      <c r="L119" s="719"/>
      <c r="M119" s="720"/>
      <c r="N119" s="319" t="s">
        <v>238</v>
      </c>
    </row>
    <row r="120" spans="2:14">
      <c r="B120" s="263"/>
      <c r="C120" s="235"/>
      <c r="D120" s="264" t="s">
        <v>234</v>
      </c>
      <c r="E120" s="707"/>
      <c r="F120" s="708"/>
      <c r="G120" s="708"/>
      <c r="H120" s="708"/>
      <c r="I120" s="709"/>
      <c r="J120" s="299"/>
      <c r="K120" s="320"/>
      <c r="L120" s="270"/>
      <c r="M120" s="271"/>
      <c r="N120" s="321" t="str">
        <f>IF(K120="","",K120)</f>
        <v/>
      </c>
    </row>
    <row r="121" spans="2:14">
      <c r="B121" s="188"/>
      <c r="C121" s="189"/>
      <c r="D121" s="264" t="s">
        <v>234</v>
      </c>
      <c r="E121" s="739"/>
      <c r="F121" s="740"/>
      <c r="G121" s="740"/>
      <c r="H121" s="740"/>
      <c r="I121" s="741"/>
      <c r="J121" s="299"/>
      <c r="K121" s="323"/>
      <c r="L121" s="277"/>
      <c r="M121" s="278"/>
      <c r="N121" s="321" t="str">
        <f t="shared" ref="N121:N128" si="12">IF(K121="","",K121)</f>
        <v/>
      </c>
    </row>
    <row r="122" spans="2:14">
      <c r="B122" s="188"/>
      <c r="C122" s="189"/>
      <c r="D122" s="264" t="s">
        <v>234</v>
      </c>
      <c r="E122" s="739"/>
      <c r="F122" s="740"/>
      <c r="G122" s="740"/>
      <c r="H122" s="740"/>
      <c r="I122" s="741"/>
      <c r="J122" s="299"/>
      <c r="K122" s="323"/>
      <c r="L122" s="277"/>
      <c r="M122" s="278"/>
      <c r="N122" s="321" t="str">
        <f t="shared" si="12"/>
        <v/>
      </c>
    </row>
    <row r="123" spans="2:14">
      <c r="B123" s="188"/>
      <c r="C123" s="189"/>
      <c r="D123" s="264" t="s">
        <v>234</v>
      </c>
      <c r="E123" s="739"/>
      <c r="F123" s="740"/>
      <c r="G123" s="740"/>
      <c r="H123" s="740"/>
      <c r="I123" s="741"/>
      <c r="J123" s="299"/>
      <c r="K123" s="323"/>
      <c r="L123" s="277"/>
      <c r="M123" s="278"/>
      <c r="N123" s="321" t="str">
        <f t="shared" si="12"/>
        <v/>
      </c>
    </row>
    <row r="124" spans="2:14">
      <c r="B124" s="188"/>
      <c r="C124" s="189"/>
      <c r="D124" s="264" t="s">
        <v>234</v>
      </c>
      <c r="E124" s="739"/>
      <c r="F124" s="740"/>
      <c r="G124" s="740"/>
      <c r="H124" s="740"/>
      <c r="I124" s="741"/>
      <c r="J124" s="299"/>
      <c r="K124" s="323"/>
      <c r="L124" s="277"/>
      <c r="M124" s="278"/>
      <c r="N124" s="321" t="str">
        <f t="shared" si="12"/>
        <v/>
      </c>
    </row>
    <row r="125" spans="2:14">
      <c r="B125" s="188"/>
      <c r="C125" s="189"/>
      <c r="D125" s="264" t="s">
        <v>234</v>
      </c>
      <c r="E125" s="739"/>
      <c r="F125" s="740"/>
      <c r="G125" s="740"/>
      <c r="H125" s="740"/>
      <c r="I125" s="741"/>
      <c r="J125" s="299"/>
      <c r="K125" s="323"/>
      <c r="L125" s="277"/>
      <c r="M125" s="278"/>
      <c r="N125" s="321" t="str">
        <f t="shared" si="12"/>
        <v/>
      </c>
    </row>
    <row r="126" spans="2:14">
      <c r="B126" s="188"/>
      <c r="C126" s="189"/>
      <c r="D126" s="264" t="s">
        <v>234</v>
      </c>
      <c r="E126" s="739"/>
      <c r="F126" s="740"/>
      <c r="G126" s="740"/>
      <c r="H126" s="740"/>
      <c r="I126" s="741"/>
      <c r="J126" s="299"/>
      <c r="K126" s="323"/>
      <c r="L126" s="277"/>
      <c r="M126" s="278"/>
      <c r="N126" s="321" t="str">
        <f t="shared" si="12"/>
        <v/>
      </c>
    </row>
    <row r="127" spans="2:14">
      <c r="B127" s="188"/>
      <c r="C127" s="189"/>
      <c r="D127" s="264" t="s">
        <v>234</v>
      </c>
      <c r="E127" s="739"/>
      <c r="F127" s="740"/>
      <c r="G127" s="740"/>
      <c r="H127" s="740"/>
      <c r="I127" s="741"/>
      <c r="J127" s="299"/>
      <c r="K127" s="323"/>
      <c r="L127" s="277"/>
      <c r="M127" s="278"/>
      <c r="N127" s="321" t="str">
        <f t="shared" si="12"/>
        <v/>
      </c>
    </row>
    <row r="128" spans="2:14" ht="16.5" thickBot="1">
      <c r="B128" s="205"/>
      <c r="C128" s="206"/>
      <c r="D128" s="324" t="s">
        <v>234</v>
      </c>
      <c r="E128" s="837"/>
      <c r="F128" s="838"/>
      <c r="G128" s="838"/>
      <c r="H128" s="838"/>
      <c r="I128" s="839"/>
      <c r="J128" s="299"/>
      <c r="K128" s="326"/>
      <c r="L128" s="284"/>
      <c r="M128" s="285"/>
      <c r="N128" s="327" t="str">
        <f t="shared" si="12"/>
        <v/>
      </c>
    </row>
    <row r="129" spans="2:14" ht="16.5" thickBot="1">
      <c r="B129" s="547"/>
      <c r="C129" s="328"/>
      <c r="D129" s="328"/>
      <c r="E129" s="328"/>
      <c r="F129" s="328"/>
      <c r="G129" s="328"/>
      <c r="H129" s="328"/>
      <c r="I129" s="328"/>
      <c r="J129" s="299"/>
      <c r="K129" s="257"/>
      <c r="L129" s="777" t="s">
        <v>332</v>
      </c>
      <c r="M129" s="778"/>
      <c r="N129" s="310">
        <f>SUM(N120:N128)</f>
        <v>0</v>
      </c>
    </row>
    <row r="130" spans="2:14" ht="15.6" customHeight="1" thickBot="1">
      <c r="B130" s="255"/>
      <c r="C130" s="255"/>
      <c r="D130" s="255"/>
      <c r="E130" s="255"/>
      <c r="F130" s="255"/>
      <c r="G130" s="255"/>
      <c r="H130" s="255"/>
      <c r="I130" s="255"/>
      <c r="J130" s="256"/>
      <c r="K130" s="257"/>
      <c r="L130" s="602"/>
      <c r="M130" s="602"/>
      <c r="N130" s="603"/>
    </row>
    <row r="131" spans="2:14" ht="18.75">
      <c r="B131" s="329" t="s">
        <v>138</v>
      </c>
      <c r="C131" s="133"/>
      <c r="D131" s="133"/>
      <c r="E131" s="133"/>
      <c r="F131" s="133"/>
      <c r="G131" s="286"/>
      <c r="H131" s="286"/>
      <c r="I131" s="287"/>
      <c r="J131" s="859" t="s">
        <v>329</v>
      </c>
      <c r="K131" s="953"/>
      <c r="L131" s="953"/>
      <c r="M131" s="953"/>
      <c r="N131" s="954"/>
    </row>
    <row r="132" spans="2:14">
      <c r="B132" s="136"/>
      <c r="G132" s="286"/>
      <c r="H132" s="286"/>
      <c r="I132" s="287"/>
      <c r="J132" s="955"/>
      <c r="K132" s="956"/>
      <c r="L132" s="956"/>
      <c r="M132" s="956"/>
      <c r="N132" s="957"/>
    </row>
    <row r="133" spans="2:14" ht="15" customHeight="1">
      <c r="B133" s="136" t="s">
        <v>100</v>
      </c>
      <c r="D133" s="673">
        <f>'MA CLAIM FORM'!D28:F28</f>
        <v>0</v>
      </c>
      <c r="E133" s="674" t="e">
        <f>IF(#REF!="","",#REF!*#REF!*B133)</f>
        <v>#REF!</v>
      </c>
      <c r="F133" s="675" t="e">
        <f>IF(#REF!="","",B133*#REF!*C133)</f>
        <v>#REF!</v>
      </c>
      <c r="G133" s="102"/>
      <c r="H133" s="102"/>
      <c r="I133" s="287"/>
      <c r="J133" s="785" t="s">
        <v>270</v>
      </c>
      <c r="K133" s="968"/>
      <c r="L133" s="968"/>
      <c r="M133" s="847">
        <f>N77</f>
        <v>0</v>
      </c>
      <c r="N133" s="848"/>
    </row>
    <row r="134" spans="2:14" ht="15" customHeight="1">
      <c r="B134" s="136"/>
      <c r="D134" s="137"/>
      <c r="E134" s="137"/>
      <c r="F134" s="137"/>
      <c r="G134" s="102"/>
      <c r="H134" s="102"/>
      <c r="I134" s="287"/>
      <c r="J134" s="785" t="s">
        <v>330</v>
      </c>
      <c r="K134" s="968"/>
      <c r="L134" s="968"/>
      <c r="M134" s="847">
        <f>N91</f>
        <v>0</v>
      </c>
      <c r="N134" s="848"/>
    </row>
    <row r="135" spans="2:14" ht="15" customHeight="1">
      <c r="B135" s="136" t="s">
        <v>101</v>
      </c>
      <c r="D135" s="673">
        <f>'MA CLAIM FORM'!D30:F30</f>
        <v>0</v>
      </c>
      <c r="E135" s="674" t="e">
        <f>IF(#REF!="","",#REF!*#REF!*B135)</f>
        <v>#REF!</v>
      </c>
      <c r="F135" s="675" t="e">
        <f>IF(#REF!="","",B135*#REF!*C135)</f>
        <v>#REF!</v>
      </c>
      <c r="G135" s="102"/>
      <c r="H135" s="102"/>
      <c r="I135" s="287"/>
      <c r="J135" s="785" t="s">
        <v>331</v>
      </c>
      <c r="K135" s="968"/>
      <c r="L135" s="968"/>
      <c r="M135" s="847">
        <f>N113</f>
        <v>0</v>
      </c>
      <c r="N135" s="848"/>
    </row>
    <row r="136" spans="2:14" ht="15" customHeight="1">
      <c r="B136" s="136"/>
      <c r="D136" s="137"/>
      <c r="E136" s="137"/>
      <c r="F136" s="137"/>
      <c r="G136" s="102"/>
      <c r="H136" s="102"/>
      <c r="I136" s="287"/>
      <c r="J136" s="785" t="s">
        <v>333</v>
      </c>
      <c r="K136" s="968"/>
      <c r="L136" s="968"/>
      <c r="M136" s="847">
        <f>N99</f>
        <v>0</v>
      </c>
      <c r="N136" s="848"/>
    </row>
    <row r="137" spans="2:14" ht="15" customHeight="1" thickBot="1">
      <c r="B137" s="136" t="s">
        <v>137</v>
      </c>
      <c r="D137" s="673">
        <f>'MA CLAIM FORM'!D32:F32</f>
        <v>0</v>
      </c>
      <c r="E137" s="674" t="e">
        <f>IF(#REF!="","",#REF!*#REF!*B137)</f>
        <v>#REF!</v>
      </c>
      <c r="F137" s="675" t="e">
        <f>IF(#REF!="","",B137*#REF!*C137)</f>
        <v>#REF!</v>
      </c>
      <c r="G137" s="102"/>
      <c r="H137" s="102"/>
      <c r="I137" s="287"/>
      <c r="J137" s="966" t="s">
        <v>332</v>
      </c>
      <c r="K137" s="967"/>
      <c r="L137" s="967"/>
      <c r="M137" s="951">
        <f>N129</f>
        <v>0</v>
      </c>
      <c r="N137" s="952"/>
    </row>
    <row r="138" spans="2:14" ht="16.5" thickBot="1">
      <c r="B138" s="258"/>
      <c r="C138" s="760"/>
      <c r="D138" s="760"/>
      <c r="E138" s="760"/>
      <c r="F138" s="760"/>
      <c r="G138" s="760"/>
      <c r="H138" s="760"/>
      <c r="I138" s="760"/>
      <c r="J138" s="964"/>
      <c r="K138" s="965"/>
      <c r="L138" s="965"/>
      <c r="M138" s="962"/>
      <c r="N138" s="963"/>
    </row>
    <row r="139" spans="2:14" ht="21.75" thickBot="1">
      <c r="B139" s="332" t="s">
        <v>374</v>
      </c>
      <c r="C139" s="102"/>
      <c r="D139" s="806"/>
      <c r="E139" s="807"/>
      <c r="F139" s="807"/>
      <c r="G139" s="807"/>
      <c r="H139" s="808"/>
      <c r="J139" s="853" t="s">
        <v>354</v>
      </c>
      <c r="K139" s="854"/>
      <c r="L139" s="854"/>
      <c r="M139" s="851">
        <f>SUM(M133:N138)</f>
        <v>0</v>
      </c>
      <c r="N139" s="852"/>
    </row>
    <row r="140" spans="2:14">
      <c r="B140" s="102"/>
      <c r="C140" s="102"/>
      <c r="D140" s="809"/>
      <c r="E140" s="810"/>
      <c r="F140" s="810"/>
      <c r="G140" s="810"/>
      <c r="H140" s="811"/>
    </row>
    <row r="141" spans="2:14">
      <c r="B141" s="102"/>
      <c r="C141" s="102"/>
      <c r="D141" s="809"/>
      <c r="E141" s="810"/>
      <c r="F141" s="810"/>
      <c r="G141" s="810"/>
      <c r="H141" s="811"/>
    </row>
    <row r="142" spans="2:14" ht="16.5" thickBot="1">
      <c r="B142" s="102"/>
      <c r="C142" s="102"/>
      <c r="D142" s="812"/>
      <c r="E142" s="813"/>
      <c r="F142" s="813"/>
      <c r="G142" s="813"/>
      <c r="H142" s="814"/>
    </row>
    <row r="143" spans="2:14" ht="16.5" thickBot="1">
      <c r="B143" s="139"/>
      <c r="E143" s="98" t="s">
        <v>107</v>
      </c>
    </row>
    <row r="144" spans="2:14" ht="16.5" thickBot="1">
      <c r="B144" s="840" t="str">
        <f>'MA CLAIM FORM'!B159:N159</f>
        <v>USER NOTES:</v>
      </c>
      <c r="C144" s="841"/>
      <c r="D144" s="841"/>
      <c r="E144" s="841"/>
      <c r="F144" s="841"/>
      <c r="G144" s="841"/>
      <c r="H144" s="841"/>
      <c r="I144" s="841"/>
      <c r="J144" s="841"/>
      <c r="K144" s="841"/>
      <c r="L144" s="841"/>
      <c r="M144" s="841"/>
      <c r="N144" s="842"/>
    </row>
    <row r="145" spans="2:14" ht="16.5" thickBot="1">
      <c r="B145" s="840" t="str">
        <f>'MA CLAIM FORM'!B160:N160</f>
        <v xml:space="preserve">1.THIS CLAIM FORM  SHOULD BE USED IN CONJUNCTION WITH THE NPCC GUIDANCE: CHARGING FOR POLICE SERVICES: MUTUAL AID COST RECOVERY.  </v>
      </c>
      <c r="C145" s="841"/>
      <c r="D145" s="841"/>
      <c r="E145" s="841"/>
      <c r="F145" s="841"/>
      <c r="G145" s="841"/>
      <c r="H145" s="841"/>
      <c r="I145" s="841"/>
      <c r="J145" s="841"/>
      <c r="K145" s="841"/>
      <c r="L145" s="841"/>
      <c r="M145" s="841"/>
      <c r="N145" s="842"/>
    </row>
    <row r="146" spans="2:14" ht="15.95" customHeight="1" thickBot="1">
      <c r="B146" s="840" t="str">
        <f>'MA CLAIM FORM'!B161:N161</f>
        <v>2.THIS FORM AND THE GUIDANCE WILL BE  UPDATED ANNUALLY WITH NEW CHARGING RATES AND ANY REGULATION OR GUIDANCE CHANGES.</v>
      </c>
      <c r="C146" s="841"/>
      <c r="D146" s="841"/>
      <c r="E146" s="841"/>
      <c r="F146" s="841"/>
      <c r="G146" s="841"/>
      <c r="H146" s="841"/>
      <c r="I146" s="841"/>
      <c r="J146" s="841"/>
      <c r="K146" s="841"/>
      <c r="L146" s="841"/>
      <c r="M146" s="841"/>
      <c r="N146" s="842"/>
    </row>
    <row r="147" spans="2:14" ht="16.5" thickBot="1">
      <c r="B147" s="840" t="str">
        <f>'MA CLAIM FORM'!B162:N162</f>
        <v>3. IF DEPLOYMENT CROSSES MAR/APR DATE BOUNDARY THEN A SEPARATE FORM FOR EACH FINANCIAL YEAR SHOULD BE USED (DUE TO RATE CHANGES)</v>
      </c>
      <c r="C147" s="841"/>
      <c r="D147" s="841"/>
      <c r="E147" s="841"/>
      <c r="F147" s="841"/>
      <c r="G147" s="841"/>
      <c r="H147" s="841"/>
      <c r="I147" s="841"/>
      <c r="J147" s="841"/>
      <c r="K147" s="841"/>
      <c r="L147" s="841"/>
      <c r="M147" s="841"/>
      <c r="N147" s="842"/>
    </row>
    <row r="148" spans="2:14">
      <c r="B148" s="840" t="str">
        <f>'MA CLAIM FORM'!B163:N163</f>
        <v xml:space="preserve">4. ONLY ONE CLAIM FORM SHOULD BE USED PER FORCE, EXCEPT WHERE FORM CAPACITY EXCEEDED OR CLAIM SPANS MULTIPLE FINANCIAL YEARS. </v>
      </c>
      <c r="C148" s="841"/>
      <c r="D148" s="841"/>
      <c r="E148" s="841"/>
      <c r="F148" s="841"/>
      <c r="G148" s="841"/>
      <c r="H148" s="841"/>
      <c r="I148" s="841"/>
      <c r="J148" s="841"/>
      <c r="K148" s="841"/>
      <c r="L148" s="841"/>
      <c r="M148" s="841"/>
      <c r="N148" s="842"/>
    </row>
    <row r="149" spans="2:14" ht="16.5" thickBot="1">
      <c r="B149" s="102"/>
      <c r="C149" s="102"/>
      <c r="D149" s="102"/>
      <c r="E149" s="102"/>
      <c r="F149" s="102"/>
      <c r="G149" s="102"/>
      <c r="H149" s="102"/>
      <c r="I149" s="102"/>
      <c r="J149" s="102"/>
      <c r="K149" s="102"/>
      <c r="L149" s="102"/>
      <c r="M149" s="102"/>
      <c r="N149" s="102"/>
    </row>
    <row r="150" spans="2:14">
      <c r="B150" s="333" t="s">
        <v>249</v>
      </c>
      <c r="C150" s="334"/>
      <c r="D150" s="334"/>
      <c r="E150" s="335"/>
      <c r="F150" s="102"/>
      <c r="G150" s="828" t="s">
        <v>247</v>
      </c>
      <c r="H150" s="829"/>
      <c r="I150" s="829"/>
      <c r="J150" s="829"/>
      <c r="K150" s="829"/>
      <c r="L150" s="829"/>
      <c r="M150" s="829"/>
      <c r="N150" s="830"/>
    </row>
    <row r="151" spans="2:14">
      <c r="B151" s="336"/>
      <c r="C151" s="803" t="str">
        <f>'MA CLAIM FORM'!C166</f>
        <v>Drop down list available</v>
      </c>
      <c r="D151" s="804"/>
      <c r="E151" s="805"/>
      <c r="F151" s="102"/>
      <c r="G151" s="831"/>
      <c r="H151" s="832"/>
      <c r="I151" s="832"/>
      <c r="J151" s="832"/>
      <c r="K151" s="832"/>
      <c r="L151" s="832"/>
      <c r="M151" s="832"/>
      <c r="N151" s="833"/>
    </row>
    <row r="152" spans="2:14">
      <c r="B152" s="337"/>
      <c r="C152" s="803" t="str">
        <f>'MA CLAIM FORM'!C167</f>
        <v>Values must be entered to enable calculations</v>
      </c>
      <c r="D152" s="804"/>
      <c r="E152" s="961"/>
      <c r="F152" s="102"/>
      <c r="G152" s="831"/>
      <c r="H152" s="832"/>
      <c r="I152" s="832"/>
      <c r="J152" s="832"/>
      <c r="K152" s="832"/>
      <c r="L152" s="832"/>
      <c r="M152" s="832"/>
      <c r="N152" s="833"/>
    </row>
    <row r="153" spans="2:14">
      <c r="B153" s="338" t="s">
        <v>306</v>
      </c>
      <c r="C153" s="803" t="str">
        <f>'MA CLAIM FORM'!C168</f>
        <v>Calculations automatically completed</v>
      </c>
      <c r="D153" s="804"/>
      <c r="E153" s="961"/>
      <c r="F153" s="102"/>
      <c r="G153" s="831"/>
      <c r="H153" s="832"/>
      <c r="I153" s="832"/>
      <c r="J153" s="832"/>
      <c r="K153" s="832"/>
      <c r="L153" s="832"/>
      <c r="M153" s="832"/>
      <c r="N153" s="833"/>
    </row>
    <row r="154" spans="2:14">
      <c r="B154" s="339"/>
      <c r="C154" s="803" t="str">
        <f>'MA CLAIM FORM'!C169</f>
        <v>Value either calculated or can be overwritten</v>
      </c>
      <c r="D154" s="804"/>
      <c r="E154" s="961"/>
      <c r="F154" s="102"/>
      <c r="G154" s="831"/>
      <c r="H154" s="832"/>
      <c r="I154" s="832"/>
      <c r="J154" s="832"/>
      <c r="K154" s="832"/>
      <c r="L154" s="832"/>
      <c r="M154" s="832"/>
      <c r="N154" s="833"/>
    </row>
    <row r="155" spans="2:14" ht="16.5" thickBot="1">
      <c r="B155" s="340"/>
      <c r="C155" s="803" t="str">
        <f>'MA CLAIM FORM'!C170</f>
        <v>Free text fields for notes/references</v>
      </c>
      <c r="D155" s="804"/>
      <c r="E155" s="961"/>
      <c r="F155" s="102"/>
      <c r="G155" s="834"/>
      <c r="H155" s="835"/>
      <c r="I155" s="835"/>
      <c r="J155" s="835"/>
      <c r="K155" s="835"/>
      <c r="L155" s="835"/>
      <c r="M155" s="835"/>
      <c r="N155" s="836"/>
    </row>
    <row r="156" spans="2:14">
      <c r="B156" s="102"/>
      <c r="C156" s="341"/>
      <c r="D156" s="102"/>
      <c r="E156" s="102"/>
      <c r="F156" s="102"/>
    </row>
  </sheetData>
  <sheetProtection algorithmName="SHA-512" hashValue="40Nu9kB5PpYYY7y3lV8x7k4KK48i0MatURttEoXGiMWVd1kXF95sBHQwfr3LHsFyLuXH7Fy599yYwFokrAJsgQ==" saltValue="dsFZIoQ/fPi7vI+Dwt7+sQ==" spinCount="100000" sheet="1" selectLockedCells="1"/>
  <protectedRanges>
    <protectedRange password="C534" sqref="D77:J78 D100:J100 D69:D76 G70:J76 G69:I69" name="Input_Personnel_3"/>
    <protectedRange password="C534" sqref="M28 M46" name="Input_Personnel_3_2"/>
    <protectedRange sqref="H25 B26" name="Mutual aid Grade_1"/>
    <protectedRange password="C534" sqref="E69:F76" name="Input_Personnel_3_2_2"/>
  </protectedRanges>
  <mergeCells count="156">
    <mergeCell ref="C151:E151"/>
    <mergeCell ref="C152:E152"/>
    <mergeCell ref="C153:E153"/>
    <mergeCell ref="C155:E155"/>
    <mergeCell ref="C154:E154"/>
    <mergeCell ref="G150:N155"/>
    <mergeCell ref="D133:F133"/>
    <mergeCell ref="D135:F135"/>
    <mergeCell ref="D137:F137"/>
    <mergeCell ref="D139:H142"/>
    <mergeCell ref="B144:N144"/>
    <mergeCell ref="B145:N145"/>
    <mergeCell ref="B146:N146"/>
    <mergeCell ref="B147:N147"/>
    <mergeCell ref="B148:N148"/>
    <mergeCell ref="M138:N138"/>
    <mergeCell ref="J139:L139"/>
    <mergeCell ref="J138:L138"/>
    <mergeCell ref="J137:L137"/>
    <mergeCell ref="J136:L136"/>
    <mergeCell ref="J135:L135"/>
    <mergeCell ref="J134:L134"/>
    <mergeCell ref="J133:L133"/>
    <mergeCell ref="M134:N134"/>
    <mergeCell ref="M135:N135"/>
    <mergeCell ref="M136:N136"/>
    <mergeCell ref="M137:N137"/>
    <mergeCell ref="E127:I127"/>
    <mergeCell ref="E128:I128"/>
    <mergeCell ref="L129:M129"/>
    <mergeCell ref="J131:N132"/>
    <mergeCell ref="E5:K12"/>
    <mergeCell ref="B7:D11"/>
    <mergeCell ref="L7:N11"/>
    <mergeCell ref="M133:N133"/>
    <mergeCell ref="B63:N64"/>
    <mergeCell ref="E119:I119"/>
    <mergeCell ref="L119:M119"/>
    <mergeCell ref="E120:I120"/>
    <mergeCell ref="E121:I121"/>
    <mergeCell ref="E122:I122"/>
    <mergeCell ref="E123:I123"/>
    <mergeCell ref="E124:I124"/>
    <mergeCell ref="E125:I125"/>
    <mergeCell ref="E126:I126"/>
    <mergeCell ref="L91:M91"/>
    <mergeCell ref="B101:I102"/>
    <mergeCell ref="K101:N102"/>
    <mergeCell ref="L113:M113"/>
    <mergeCell ref="D114:E114"/>
    <mergeCell ref="D115:E115"/>
    <mergeCell ref="B117:I118"/>
    <mergeCell ref="K117:N118"/>
    <mergeCell ref="B17:N18"/>
    <mergeCell ref="C21:I21"/>
    <mergeCell ref="S26:Y27"/>
    <mergeCell ref="B42:I42"/>
    <mergeCell ref="M42:N42"/>
    <mergeCell ref="B28:I28"/>
    <mergeCell ref="B34:D34"/>
    <mergeCell ref="E34:G34"/>
    <mergeCell ref="H34:I34"/>
    <mergeCell ref="M40:N40"/>
    <mergeCell ref="K40:L40"/>
    <mergeCell ref="B32:D32"/>
    <mergeCell ref="M28:N28"/>
    <mergeCell ref="M34:N34"/>
    <mergeCell ref="H32:I32"/>
    <mergeCell ref="M33:N33"/>
    <mergeCell ref="M35:N35"/>
    <mergeCell ref="M36:N36"/>
    <mergeCell ref="B35:D35"/>
    <mergeCell ref="B33:D33"/>
    <mergeCell ref="M37:N37"/>
    <mergeCell ref="M38:N38"/>
    <mergeCell ref="E33:G33"/>
    <mergeCell ref="E35:G35"/>
    <mergeCell ref="E36:G36"/>
    <mergeCell ref="E37:G37"/>
    <mergeCell ref="C22:N22"/>
    <mergeCell ref="C23:N24"/>
    <mergeCell ref="H35:I35"/>
    <mergeCell ref="H36:I36"/>
    <mergeCell ref="H37:I37"/>
    <mergeCell ref="H38:I38"/>
    <mergeCell ref="E32:G32"/>
    <mergeCell ref="M32:N32"/>
    <mergeCell ref="B30:I31"/>
    <mergeCell ref="K30:N31"/>
    <mergeCell ref="B26:D26"/>
    <mergeCell ref="E26:G26"/>
    <mergeCell ref="I26:N26"/>
    <mergeCell ref="H33:I33"/>
    <mergeCell ref="E38:G38"/>
    <mergeCell ref="B48:I49"/>
    <mergeCell ref="K48:N49"/>
    <mergeCell ref="B50:D50"/>
    <mergeCell ref="E50:G50"/>
    <mergeCell ref="H50:I50"/>
    <mergeCell ref="E54:G54"/>
    <mergeCell ref="B53:D53"/>
    <mergeCell ref="H39:I39"/>
    <mergeCell ref="B36:D36"/>
    <mergeCell ref="B37:D37"/>
    <mergeCell ref="B38:D38"/>
    <mergeCell ref="B39:D39"/>
    <mergeCell ref="M39:N39"/>
    <mergeCell ref="E39:G39"/>
    <mergeCell ref="L95:M95"/>
    <mergeCell ref="L77:M77"/>
    <mergeCell ref="B93:I94"/>
    <mergeCell ref="K93:N94"/>
    <mergeCell ref="B79:I80"/>
    <mergeCell ref="B66:I67"/>
    <mergeCell ref="K66:N67"/>
    <mergeCell ref="E98:F98"/>
    <mergeCell ref="B46:I46"/>
    <mergeCell ref="M46:N46"/>
    <mergeCell ref="H53:I53"/>
    <mergeCell ref="M53:N53"/>
    <mergeCell ref="B54:D54"/>
    <mergeCell ref="M50:N50"/>
    <mergeCell ref="B51:D51"/>
    <mergeCell ref="E51:G51"/>
    <mergeCell ref="H51:I51"/>
    <mergeCell ref="M51:N51"/>
    <mergeCell ref="B52:D52"/>
    <mergeCell ref="E52:G52"/>
    <mergeCell ref="H52:I52"/>
    <mergeCell ref="M52:N52"/>
    <mergeCell ref="H54:I54"/>
    <mergeCell ref="M54:N54"/>
    <mergeCell ref="K79:O80"/>
    <mergeCell ref="E55:G55"/>
    <mergeCell ref="H55:I55"/>
    <mergeCell ref="M139:N139"/>
    <mergeCell ref="B57:D57"/>
    <mergeCell ref="E57:G57"/>
    <mergeCell ref="H57:I57"/>
    <mergeCell ref="M57:N57"/>
    <mergeCell ref="K58:L58"/>
    <mergeCell ref="M58:N58"/>
    <mergeCell ref="M55:N55"/>
    <mergeCell ref="B56:D56"/>
    <mergeCell ref="E56:G56"/>
    <mergeCell ref="H56:I56"/>
    <mergeCell ref="M56:N56"/>
    <mergeCell ref="B60:I60"/>
    <mergeCell ref="M60:N60"/>
    <mergeCell ref="B55:D55"/>
    <mergeCell ref="C99:I99"/>
    <mergeCell ref="C138:I138"/>
    <mergeCell ref="L99:M99"/>
    <mergeCell ref="E96:F96"/>
    <mergeCell ref="E97:F97"/>
    <mergeCell ref="E95:F95"/>
  </mergeCells>
  <dataValidations count="11">
    <dataValidation type="list" allowBlank="1" showInputMessage="1" showErrorMessage="1" sqref="D69:D76">
      <formula1>Rank</formula1>
    </dataValidation>
    <dataValidation type="list" allowBlank="1" showInputMessage="1" showErrorMessage="1" sqref="D96:D98">
      <formula1>TDR</formula1>
    </dataValidation>
    <dataValidation type="list" allowBlank="1" showInputMessage="1" showErrorMessage="1" sqref="F77:F78 F100">
      <formula1>RESOURCES</formula1>
    </dataValidation>
    <dataValidation type="list" allowBlank="1" showInputMessage="1" showErrorMessage="1" sqref="E77:E78 E100">
      <formula1>ranksandg</formula1>
    </dataValidation>
    <dataValidation type="list" allowBlank="1" showInputMessage="1" showErrorMessage="1" sqref="D82:D90">
      <formula1>Allow</formula1>
    </dataValidation>
    <dataValidation type="list" allowBlank="1" showInputMessage="1" showErrorMessage="1" sqref="F91:F92 F129:F130">
      <formula1>allowt</formula1>
    </dataValidation>
    <dataValidation type="list" allowBlank="1" showInputMessage="1" showErrorMessage="1" sqref="F116 F113">
      <formula1>vehiclet</formula1>
    </dataValidation>
    <dataValidation type="list" allowBlank="1" showInputMessage="1" showErrorMessage="1" sqref="D104:D112">
      <formula1>Vehicle</formula1>
    </dataValidation>
    <dataValidation type="list" allowBlank="1" showInputMessage="1" showErrorMessage="1" sqref="D120:D128">
      <formula1>Consume</formula1>
    </dataValidation>
    <dataValidation type="list" allowBlank="1" showInputMessage="1" showErrorMessage="1" sqref="B5:B6">
      <formula1>Force</formula1>
    </dataValidation>
    <dataValidation type="list" allowBlank="1" showInputMessage="1" showErrorMessage="1" sqref="B26:D26 F69:F76">
      <formula1>MAG</formula1>
    </dataValidation>
  </dataValidations>
  <pageMargins left="0.35433070866141736" right="0.23622047244094491" top="0.39370078740157483" bottom="0.39370078740157483" header="0.19685039370078741" footer="0.31496062992125984"/>
  <pageSetup paperSize="9" scale="56" fitToHeight="2" orientation="portrait" horizontalDpi="4294967294" r:id="rId1"/>
  <headerFooter>
    <oddFooter>&amp;L&amp;8&amp;F&amp;R&amp;8&amp;P</oddFooter>
  </headerFooter>
  <rowBreaks count="1" manualBreakCount="1">
    <brk id="77" max="16383" man="1"/>
  </rowBreaks>
  <ignoredErrors>
    <ignoredError sqref="L69:L76 I96:I98"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M102"/>
  <sheetViews>
    <sheetView topLeftCell="A38" zoomScaleNormal="100" workbookViewId="0">
      <selection activeCell="A72" sqref="A72"/>
    </sheetView>
  </sheetViews>
  <sheetFormatPr defaultColWidth="8.88671875" defaultRowHeight="12.75"/>
  <cols>
    <col min="1" max="1" width="14.6640625" style="43" customWidth="1"/>
    <col min="2" max="2" width="31.88671875" style="43" customWidth="1"/>
    <col min="3" max="3" width="19.109375" style="43" customWidth="1"/>
    <col min="4" max="4" width="8.5546875" style="52" bestFit="1" customWidth="1"/>
    <col min="5" max="5" width="7.5546875" style="43" bestFit="1" customWidth="1"/>
    <col min="6" max="6" width="13.44140625" style="43" customWidth="1"/>
    <col min="7" max="13" width="8.77734375" style="43" customWidth="1"/>
    <col min="14" max="16384" width="8.88671875" style="43"/>
  </cols>
  <sheetData>
    <row r="1" spans="1:13" ht="25.5">
      <c r="A1" s="38" t="s">
        <v>108</v>
      </c>
      <c r="B1" s="39" t="str">
        <f>CONCATENATE(C1&amp;A1)</f>
        <v>GRADE 0Constable</v>
      </c>
      <c r="C1" s="40" t="s">
        <v>142</v>
      </c>
      <c r="D1" s="47">
        <f>Ranks!B4</f>
        <v>65.897499999999994</v>
      </c>
      <c r="E1" s="42"/>
      <c r="F1" s="343"/>
      <c r="G1" s="344" t="s">
        <v>108</v>
      </c>
      <c r="H1" s="344" t="s">
        <v>109</v>
      </c>
      <c r="I1" s="344" t="s">
        <v>110</v>
      </c>
      <c r="J1" s="344" t="s">
        <v>111</v>
      </c>
      <c r="K1" s="344" t="s">
        <v>112</v>
      </c>
      <c r="L1" s="344" t="s">
        <v>186</v>
      </c>
      <c r="M1" s="344" t="s">
        <v>380</v>
      </c>
    </row>
    <row r="2" spans="1:13" ht="15.75">
      <c r="A2" s="44" t="s">
        <v>109</v>
      </c>
      <c r="B2" s="45" t="str">
        <f t="shared" ref="B2:B40" si="0">CONCATENATE(C2&amp;A2)</f>
        <v>GRADE 0Sergeant</v>
      </c>
      <c r="C2" s="46" t="s">
        <v>142</v>
      </c>
      <c r="D2" s="47">
        <f>Ranks!B5</f>
        <v>81.987499999999997</v>
      </c>
      <c r="E2" s="42"/>
      <c r="F2" s="343" t="s">
        <v>441</v>
      </c>
      <c r="G2" s="345">
        <v>65.897499999999994</v>
      </c>
      <c r="H2" s="342">
        <v>81.987499999999997</v>
      </c>
      <c r="I2" s="342">
        <v>61.424999999999997</v>
      </c>
      <c r="J2" s="342">
        <v>68.2734375</v>
      </c>
      <c r="K2" s="342">
        <v>84.2</v>
      </c>
      <c r="L2" s="342">
        <v>97.212499999999991</v>
      </c>
      <c r="M2" s="342">
        <f>G2/2</f>
        <v>32.948749999999997</v>
      </c>
    </row>
    <row r="3" spans="1:13" ht="15.75">
      <c r="A3" s="44" t="s">
        <v>110</v>
      </c>
      <c r="B3" s="45" t="str">
        <f t="shared" si="0"/>
        <v>GRADE 0Inspector</v>
      </c>
      <c r="C3" s="46" t="s">
        <v>142</v>
      </c>
      <c r="D3" s="47">
        <f>Ranks!B6</f>
        <v>61.424999999999997</v>
      </c>
      <c r="E3" s="42"/>
      <c r="F3" s="343" t="s">
        <v>442</v>
      </c>
      <c r="G3" s="345">
        <v>49.423124999999999</v>
      </c>
      <c r="H3" s="342">
        <v>61.490624999999994</v>
      </c>
      <c r="I3" s="342">
        <v>61.424999999999997</v>
      </c>
      <c r="J3" s="342">
        <v>68.2734375</v>
      </c>
      <c r="K3" s="342">
        <v>84.2</v>
      </c>
      <c r="L3" s="342">
        <v>97.212499999999991</v>
      </c>
      <c r="M3" s="342">
        <f>G3/2</f>
        <v>24.711562499999999</v>
      </c>
    </row>
    <row r="4" spans="1:13" ht="15.75">
      <c r="A4" s="44" t="s">
        <v>111</v>
      </c>
      <c r="B4" s="45" t="str">
        <f t="shared" si="0"/>
        <v>GRADE 0Chief Inspector</v>
      </c>
      <c r="C4" s="46" t="s">
        <v>142</v>
      </c>
      <c r="D4" s="47">
        <f>Ranks!B7</f>
        <v>68.2734375</v>
      </c>
      <c r="E4" s="42"/>
      <c r="F4" s="343" t="s">
        <v>443</v>
      </c>
      <c r="G4" s="345">
        <v>43.821837500000001</v>
      </c>
      <c r="H4" s="342">
        <v>54.521687499999999</v>
      </c>
      <c r="I4" s="342">
        <v>61.424999999999997</v>
      </c>
      <c r="J4" s="342">
        <v>68.2734375</v>
      </c>
      <c r="K4" s="342">
        <v>84.2</v>
      </c>
      <c r="L4" s="342">
        <v>97.212499999999991</v>
      </c>
      <c r="M4" s="342">
        <f>G4/2</f>
        <v>21.91091875</v>
      </c>
    </row>
    <row r="5" spans="1:13" ht="15.75">
      <c r="A5" s="44" t="s">
        <v>112</v>
      </c>
      <c r="B5" s="45" t="str">
        <f t="shared" si="0"/>
        <v>GRADE 0Superintendent</v>
      </c>
      <c r="C5" s="46" t="s">
        <v>142</v>
      </c>
      <c r="D5" s="47">
        <f>Ranks!B8</f>
        <v>84.2</v>
      </c>
      <c r="E5" s="42"/>
      <c r="F5" s="343" t="s">
        <v>444</v>
      </c>
      <c r="G5" s="345">
        <v>49.423124999999999</v>
      </c>
      <c r="H5" s="342">
        <v>61.490624999999994</v>
      </c>
      <c r="I5" s="342">
        <v>73.710000000000008</v>
      </c>
      <c r="J5" s="342">
        <v>81.928124999999994</v>
      </c>
      <c r="K5" s="342">
        <v>101.03999999999999</v>
      </c>
      <c r="L5" s="342">
        <v>116.655</v>
      </c>
      <c r="M5" s="342">
        <f>G5/2</f>
        <v>24.711562499999999</v>
      </c>
    </row>
    <row r="6" spans="1:13">
      <c r="A6" s="44" t="s">
        <v>186</v>
      </c>
      <c r="B6" s="45" t="str">
        <f t="shared" si="0"/>
        <v>GRADE 0C/Superintendent</v>
      </c>
      <c r="C6" s="46" t="s">
        <v>142</v>
      </c>
      <c r="D6" s="47">
        <f>Ranks!B9</f>
        <v>97.212499999999991</v>
      </c>
      <c r="E6" s="42"/>
    </row>
    <row r="7" spans="1:13">
      <c r="A7" s="48" t="s">
        <v>380</v>
      </c>
      <c r="B7" s="49" t="str">
        <f>CONCATENATE(C7&amp;A7)</f>
        <v>GRADE 0Special Constable</v>
      </c>
      <c r="C7" s="50" t="s">
        <v>142</v>
      </c>
      <c r="D7" s="47">
        <f>Ranks!B10</f>
        <v>32.948749999999997</v>
      </c>
      <c r="E7" s="42"/>
      <c r="F7" s="12"/>
      <c r="G7" s="12"/>
      <c r="H7" s="12"/>
      <c r="I7" s="12"/>
      <c r="J7" s="12"/>
      <c r="K7" s="12"/>
      <c r="L7" s="12"/>
    </row>
    <row r="8" spans="1:13">
      <c r="A8" s="38" t="s">
        <v>108</v>
      </c>
      <c r="B8" s="39" t="str">
        <f t="shared" si="0"/>
        <v>GRADE 1Constable</v>
      </c>
      <c r="C8" s="40" t="s">
        <v>143</v>
      </c>
      <c r="D8" s="41">
        <f>Ranks!C4</f>
        <v>49.423124999999999</v>
      </c>
      <c r="E8" s="42"/>
      <c r="F8" s="12"/>
      <c r="G8" s="12"/>
      <c r="H8" s="12"/>
      <c r="I8" s="12"/>
      <c r="J8" s="12"/>
      <c r="K8" s="12"/>
      <c r="L8" s="12"/>
    </row>
    <row r="9" spans="1:13">
      <c r="A9" s="44" t="s">
        <v>109</v>
      </c>
      <c r="B9" s="45" t="str">
        <f t="shared" si="0"/>
        <v>GRADE 1Sergeant</v>
      </c>
      <c r="C9" s="46" t="s">
        <v>143</v>
      </c>
      <c r="D9" s="47">
        <f>Ranks!C5</f>
        <v>61.490624999999994</v>
      </c>
      <c r="E9" s="42"/>
    </row>
    <row r="10" spans="1:13">
      <c r="A10" s="44" t="s">
        <v>110</v>
      </c>
      <c r="B10" s="45" t="str">
        <f t="shared" si="0"/>
        <v>GRADE 1Inspector</v>
      </c>
      <c r="C10" s="46" t="s">
        <v>143</v>
      </c>
      <c r="D10" s="47">
        <f>Ranks!C6</f>
        <v>61.424999999999997</v>
      </c>
      <c r="E10" s="42"/>
    </row>
    <row r="11" spans="1:13">
      <c r="A11" s="44" t="s">
        <v>111</v>
      </c>
      <c r="B11" s="45" t="str">
        <f t="shared" si="0"/>
        <v>GRADE 1Chief Inspector</v>
      </c>
      <c r="C11" s="46" t="s">
        <v>143</v>
      </c>
      <c r="D11" s="47">
        <f>Ranks!C7</f>
        <v>68.2734375</v>
      </c>
      <c r="E11" s="42"/>
    </row>
    <row r="12" spans="1:13">
      <c r="A12" s="44" t="s">
        <v>112</v>
      </c>
      <c r="B12" s="45" t="str">
        <f t="shared" si="0"/>
        <v>GRADE 1Superintendent</v>
      </c>
      <c r="C12" s="46" t="s">
        <v>143</v>
      </c>
      <c r="D12" s="47">
        <f>Ranks!C8</f>
        <v>84.2</v>
      </c>
      <c r="E12" s="42"/>
    </row>
    <row r="13" spans="1:13">
      <c r="A13" s="44" t="s">
        <v>186</v>
      </c>
      <c r="B13" s="45" t="str">
        <f t="shared" si="0"/>
        <v>GRADE 1C/Superintendent</v>
      </c>
      <c r="C13" s="46" t="s">
        <v>143</v>
      </c>
      <c r="D13" s="47">
        <f>Ranks!C9</f>
        <v>97.212499999999991</v>
      </c>
      <c r="E13" s="42"/>
    </row>
    <row r="14" spans="1:13">
      <c r="A14" s="48" t="s">
        <v>380</v>
      </c>
      <c r="B14" s="49" t="str">
        <f t="shared" si="0"/>
        <v>GRADE 1Special Constable</v>
      </c>
      <c r="C14" s="50" t="s">
        <v>143</v>
      </c>
      <c r="D14" s="51">
        <f>Ranks!C10</f>
        <v>24.711562499999999</v>
      </c>
      <c r="E14" s="42"/>
      <c r="F14" s="12"/>
      <c r="G14" s="12"/>
      <c r="H14" s="12"/>
      <c r="I14" s="12"/>
      <c r="J14" s="12"/>
      <c r="K14" s="12"/>
      <c r="L14" s="12"/>
    </row>
    <row r="15" spans="1:13">
      <c r="A15" s="38" t="s">
        <v>108</v>
      </c>
      <c r="B15" s="39" t="str">
        <f t="shared" si="0"/>
        <v>GRADE 2Constable</v>
      </c>
      <c r="C15" s="40" t="s">
        <v>144</v>
      </c>
      <c r="D15" s="41">
        <f>Ranks!D4</f>
        <v>43.821837500000001</v>
      </c>
      <c r="E15" s="42"/>
    </row>
    <row r="16" spans="1:13">
      <c r="A16" s="44" t="s">
        <v>109</v>
      </c>
      <c r="B16" s="45" t="str">
        <f t="shared" si="0"/>
        <v>GRADE 2Sergeant</v>
      </c>
      <c r="C16" s="46" t="s">
        <v>144</v>
      </c>
      <c r="D16" s="47">
        <f>Ranks!D5</f>
        <v>54.521687499999999</v>
      </c>
      <c r="E16" s="42"/>
    </row>
    <row r="17" spans="1:12">
      <c r="A17" s="44" t="s">
        <v>110</v>
      </c>
      <c r="B17" s="45" t="str">
        <f t="shared" si="0"/>
        <v>GRADE 2Inspector</v>
      </c>
      <c r="C17" s="46" t="s">
        <v>144</v>
      </c>
      <c r="D17" s="47">
        <f>Ranks!D6</f>
        <v>61.424999999999997</v>
      </c>
      <c r="E17" s="42"/>
    </row>
    <row r="18" spans="1:12">
      <c r="A18" s="44" t="s">
        <v>111</v>
      </c>
      <c r="B18" s="45" t="str">
        <f t="shared" si="0"/>
        <v>GRADE 2Chief Inspector</v>
      </c>
      <c r="C18" s="46" t="s">
        <v>144</v>
      </c>
      <c r="D18" s="47">
        <f>Ranks!D7</f>
        <v>68.2734375</v>
      </c>
      <c r="E18" s="42"/>
    </row>
    <row r="19" spans="1:12">
      <c r="A19" s="44" t="s">
        <v>112</v>
      </c>
      <c r="B19" s="45" t="str">
        <f t="shared" si="0"/>
        <v>GRADE 2Superintendent</v>
      </c>
      <c r="C19" s="46" t="s">
        <v>144</v>
      </c>
      <c r="D19" s="47">
        <f>Ranks!D8</f>
        <v>84.2</v>
      </c>
      <c r="E19" s="42"/>
    </row>
    <row r="20" spans="1:12">
      <c r="A20" s="44" t="s">
        <v>186</v>
      </c>
      <c r="B20" s="45" t="str">
        <f t="shared" si="0"/>
        <v>GRADE 2C/Superintendent</v>
      </c>
      <c r="C20" s="46" t="s">
        <v>144</v>
      </c>
      <c r="D20" s="47">
        <f>Ranks!D9</f>
        <v>97.212499999999991</v>
      </c>
      <c r="E20" s="42"/>
    </row>
    <row r="21" spans="1:12">
      <c r="A21" s="48" t="s">
        <v>380</v>
      </c>
      <c r="B21" s="49" t="str">
        <f t="shared" ref="B21:B27" si="1">CONCATENATE(C21&amp;A21)</f>
        <v>GRADE 2Special Constable</v>
      </c>
      <c r="C21" s="50" t="s">
        <v>144</v>
      </c>
      <c r="D21" s="51">
        <f>Ranks!D10</f>
        <v>21.91091875</v>
      </c>
      <c r="E21" s="42"/>
      <c r="F21" s="12"/>
      <c r="G21" s="12"/>
      <c r="H21" s="12"/>
      <c r="I21" s="12"/>
      <c r="J21" s="12"/>
      <c r="K21" s="12"/>
      <c r="L21" s="12"/>
    </row>
    <row r="22" spans="1:12">
      <c r="A22" s="44" t="s">
        <v>108</v>
      </c>
      <c r="B22" s="45" t="str">
        <f t="shared" si="1"/>
        <v>GRADE 3Constable</v>
      </c>
      <c r="C22" s="46" t="s">
        <v>397</v>
      </c>
      <c r="D22" s="47">
        <f>Ranks!E4</f>
        <v>49.423124999999999</v>
      </c>
      <c r="E22" s="42"/>
    </row>
    <row r="23" spans="1:12">
      <c r="A23" s="44" t="s">
        <v>109</v>
      </c>
      <c r="B23" s="45" t="str">
        <f t="shared" si="1"/>
        <v>GRADE 3Sergeant</v>
      </c>
      <c r="C23" s="46" t="s">
        <v>397</v>
      </c>
      <c r="D23" s="47">
        <f>Ranks!E5</f>
        <v>61.490624999999994</v>
      </c>
      <c r="E23" s="42"/>
    </row>
    <row r="24" spans="1:12">
      <c r="A24" s="44" t="s">
        <v>110</v>
      </c>
      <c r="B24" s="45" t="str">
        <f t="shared" si="1"/>
        <v>GRADE 3Inspector</v>
      </c>
      <c r="C24" s="46" t="s">
        <v>397</v>
      </c>
      <c r="D24" s="47">
        <f>Ranks!E6</f>
        <v>73.710000000000008</v>
      </c>
      <c r="E24" s="42"/>
    </row>
    <row r="25" spans="1:12">
      <c r="A25" s="44" t="s">
        <v>111</v>
      </c>
      <c r="B25" s="45" t="str">
        <f t="shared" si="1"/>
        <v>GRADE 3Chief Inspector</v>
      </c>
      <c r="C25" s="46" t="s">
        <v>397</v>
      </c>
      <c r="D25" s="47">
        <f>Ranks!E7</f>
        <v>81.928124999999994</v>
      </c>
      <c r="E25" s="42"/>
    </row>
    <row r="26" spans="1:12">
      <c r="A26" s="44" t="s">
        <v>112</v>
      </c>
      <c r="B26" s="45" t="str">
        <f t="shared" si="1"/>
        <v>GRADE 3Superintendent</v>
      </c>
      <c r="C26" s="46" t="s">
        <v>397</v>
      </c>
      <c r="D26" s="47">
        <f>Ranks!E8</f>
        <v>101.03999999999999</v>
      </c>
      <c r="E26" s="42"/>
    </row>
    <row r="27" spans="1:12">
      <c r="A27" s="44" t="s">
        <v>186</v>
      </c>
      <c r="B27" s="45" t="str">
        <f t="shared" si="1"/>
        <v>GRADE 3C/Superintendent</v>
      </c>
      <c r="C27" s="46" t="s">
        <v>397</v>
      </c>
      <c r="D27" s="47">
        <f>Ranks!E9</f>
        <v>116.655</v>
      </c>
      <c r="E27" s="42"/>
    </row>
    <row r="28" spans="1:12">
      <c r="A28" s="48" t="s">
        <v>380</v>
      </c>
      <c r="B28" s="49" t="str">
        <f>CONCATENATE(C28&amp;A28)</f>
        <v>GRADE 3Special Constable</v>
      </c>
      <c r="C28" s="46" t="s">
        <v>397</v>
      </c>
      <c r="D28" s="47">
        <f>Ranks!E10</f>
        <v>24.711562499999999</v>
      </c>
      <c r="E28" s="42"/>
      <c r="F28" s="12"/>
      <c r="G28" s="12"/>
      <c r="H28" s="12"/>
      <c r="I28" s="12"/>
      <c r="J28" s="12"/>
      <c r="K28" s="12"/>
      <c r="L28" s="12"/>
    </row>
    <row r="29" spans="1:12">
      <c r="A29" s="38" t="s">
        <v>108</v>
      </c>
      <c r="B29" s="39" t="str">
        <f t="shared" si="0"/>
        <v>ATTACHMENTConstable</v>
      </c>
      <c r="C29" s="40" t="s">
        <v>163</v>
      </c>
      <c r="D29" s="41">
        <f>Ranks!F4</f>
        <v>0</v>
      </c>
      <c r="E29" s="42"/>
    </row>
    <row r="30" spans="1:12">
      <c r="A30" s="44" t="s">
        <v>109</v>
      </c>
      <c r="B30" s="45" t="str">
        <f t="shared" si="0"/>
        <v>ATTACHMENTSergeant</v>
      </c>
      <c r="C30" s="46" t="s">
        <v>163</v>
      </c>
      <c r="D30" s="47">
        <f>Ranks!F5</f>
        <v>0</v>
      </c>
      <c r="E30" s="42"/>
    </row>
    <row r="31" spans="1:12">
      <c r="A31" s="44" t="s">
        <v>110</v>
      </c>
      <c r="B31" s="45" t="str">
        <f t="shared" si="0"/>
        <v>ATTACHMENTInspector</v>
      </c>
      <c r="C31" s="46" t="s">
        <v>163</v>
      </c>
      <c r="D31" s="47">
        <f>Ranks!F6</f>
        <v>0</v>
      </c>
      <c r="E31" s="42"/>
    </row>
    <row r="32" spans="1:12">
      <c r="A32" s="44" t="s">
        <v>111</v>
      </c>
      <c r="B32" s="45" t="str">
        <f t="shared" si="0"/>
        <v>ATTACHMENTChief Inspector</v>
      </c>
      <c r="C32" s="46" t="s">
        <v>163</v>
      </c>
      <c r="D32" s="47">
        <f>Ranks!F7</f>
        <v>0</v>
      </c>
      <c r="E32" s="42"/>
    </row>
    <row r="33" spans="1:5">
      <c r="A33" s="44" t="s">
        <v>112</v>
      </c>
      <c r="B33" s="45" t="str">
        <f t="shared" si="0"/>
        <v>ATTACHMENTSuperintendent</v>
      </c>
      <c r="C33" s="46" t="s">
        <v>163</v>
      </c>
      <c r="D33" s="47">
        <f>Ranks!F8</f>
        <v>0</v>
      </c>
      <c r="E33" s="42"/>
    </row>
    <row r="34" spans="1:5">
      <c r="A34" s="48" t="s">
        <v>186</v>
      </c>
      <c r="B34" s="49" t="str">
        <f t="shared" si="0"/>
        <v>ATTACHMENTC/Superintendent</v>
      </c>
      <c r="C34" s="50" t="s">
        <v>163</v>
      </c>
      <c r="D34" s="51">
        <f>Ranks!F9</f>
        <v>0</v>
      </c>
      <c r="E34" s="42"/>
    </row>
    <row r="35" spans="1:5">
      <c r="A35" s="38" t="s">
        <v>108</v>
      </c>
      <c r="B35" s="39" t="str">
        <f t="shared" si="0"/>
        <v>PROLONGED MUTUAL AIDConstable</v>
      </c>
      <c r="C35" s="40" t="s">
        <v>160</v>
      </c>
      <c r="D35" s="41">
        <f>Ranks!G4</f>
        <v>0</v>
      </c>
      <c r="E35" s="42"/>
    </row>
    <row r="36" spans="1:5">
      <c r="A36" s="44" t="s">
        <v>109</v>
      </c>
      <c r="B36" s="45" t="str">
        <f t="shared" si="0"/>
        <v>PROLONGED MUTUAL AIDSergeant</v>
      </c>
      <c r="C36" s="46" t="s">
        <v>160</v>
      </c>
      <c r="D36" s="47">
        <f>Ranks!G5</f>
        <v>0</v>
      </c>
      <c r="E36" s="42"/>
    </row>
    <row r="37" spans="1:5">
      <c r="A37" s="44" t="s">
        <v>110</v>
      </c>
      <c r="B37" s="45" t="str">
        <f t="shared" si="0"/>
        <v>PROLONGED MUTUAL AIDInspector</v>
      </c>
      <c r="C37" s="46" t="s">
        <v>160</v>
      </c>
      <c r="D37" s="47">
        <f>Ranks!G6</f>
        <v>0</v>
      </c>
      <c r="E37" s="42"/>
    </row>
    <row r="38" spans="1:5">
      <c r="A38" s="44" t="s">
        <v>111</v>
      </c>
      <c r="B38" s="45" t="str">
        <f t="shared" si="0"/>
        <v>PROLONGED MUTUAL AIDChief Inspector</v>
      </c>
      <c r="C38" s="46" t="s">
        <v>160</v>
      </c>
      <c r="D38" s="47">
        <f>Ranks!G7</f>
        <v>0</v>
      </c>
      <c r="E38" s="42"/>
    </row>
    <row r="39" spans="1:5">
      <c r="A39" s="44" t="s">
        <v>112</v>
      </c>
      <c r="B39" s="45" t="str">
        <f t="shared" si="0"/>
        <v>PROLONGED MUTUAL AIDSuperintendent</v>
      </c>
      <c r="C39" s="46" t="s">
        <v>160</v>
      </c>
      <c r="D39" s="47">
        <f>Ranks!G8</f>
        <v>0</v>
      </c>
      <c r="E39" s="42"/>
    </row>
    <row r="40" spans="1:5">
      <c r="A40" s="48" t="s">
        <v>186</v>
      </c>
      <c r="B40" s="49" t="str">
        <f t="shared" si="0"/>
        <v>PROLONGED MUTUAL AIDC/Superintendent</v>
      </c>
      <c r="C40" s="50" t="s">
        <v>160</v>
      </c>
      <c r="D40" s="51">
        <f>Ranks!G9</f>
        <v>0</v>
      </c>
      <c r="E40" s="42"/>
    </row>
    <row r="41" spans="1:5">
      <c r="A41" s="38" t="s">
        <v>108</v>
      </c>
      <c r="B41" s="39" t="str">
        <f t="shared" ref="B41:B46" si="2">CONCATENATE(C41&amp;A41)</f>
        <v>SECONDMENTConstable</v>
      </c>
      <c r="C41" s="40" t="s">
        <v>161</v>
      </c>
      <c r="D41" s="41">
        <f t="shared" ref="D41:D46" si="3">D29</f>
        <v>0</v>
      </c>
      <c r="E41" s="42"/>
    </row>
    <row r="42" spans="1:5">
      <c r="A42" s="44" t="s">
        <v>109</v>
      </c>
      <c r="B42" s="45" t="str">
        <f t="shared" si="2"/>
        <v>SECONDMENTSergeant</v>
      </c>
      <c r="C42" s="46" t="s">
        <v>161</v>
      </c>
      <c r="D42" s="47">
        <f t="shared" si="3"/>
        <v>0</v>
      </c>
      <c r="E42" s="42"/>
    </row>
    <row r="43" spans="1:5">
      <c r="A43" s="44" t="s">
        <v>110</v>
      </c>
      <c r="B43" s="45" t="str">
        <f t="shared" si="2"/>
        <v>SECONDMENTInspector</v>
      </c>
      <c r="C43" s="46" t="s">
        <v>161</v>
      </c>
      <c r="D43" s="47">
        <f t="shared" si="3"/>
        <v>0</v>
      </c>
      <c r="E43" s="42"/>
    </row>
    <row r="44" spans="1:5">
      <c r="A44" s="44" t="s">
        <v>111</v>
      </c>
      <c r="B44" s="45" t="str">
        <f t="shared" si="2"/>
        <v>SECONDMENTChief Inspector</v>
      </c>
      <c r="C44" s="46" t="s">
        <v>161</v>
      </c>
      <c r="D44" s="47">
        <f t="shared" si="3"/>
        <v>0</v>
      </c>
      <c r="E44" s="42"/>
    </row>
    <row r="45" spans="1:5">
      <c r="A45" s="44" t="s">
        <v>112</v>
      </c>
      <c r="B45" s="45" t="str">
        <f t="shared" si="2"/>
        <v>SECONDMENTSuperintendent</v>
      </c>
      <c r="C45" s="46" t="s">
        <v>161</v>
      </c>
      <c r="D45" s="47">
        <f t="shared" si="3"/>
        <v>0</v>
      </c>
      <c r="E45" s="42"/>
    </row>
    <row r="46" spans="1:5">
      <c r="A46" s="48" t="s">
        <v>186</v>
      </c>
      <c r="B46" s="49" t="str">
        <f t="shared" si="2"/>
        <v>SECONDMENTC/Superintendent</v>
      </c>
      <c r="C46" s="50" t="s">
        <v>161</v>
      </c>
      <c r="D46" s="51">
        <f t="shared" si="3"/>
        <v>0</v>
      </c>
      <c r="E46" s="42"/>
    </row>
    <row r="47" spans="1:5">
      <c r="A47" s="44" t="s">
        <v>445</v>
      </c>
      <c r="B47" s="45" t="s">
        <v>544</v>
      </c>
      <c r="C47" s="46" t="s">
        <v>142</v>
      </c>
      <c r="D47" s="359">
        <f>'Staff Rates'!B22</f>
        <v>42.989417989417987</v>
      </c>
    </row>
    <row r="48" spans="1:5">
      <c r="A48" s="44" t="s">
        <v>419</v>
      </c>
      <c r="B48" s="45" t="str">
        <f t="shared" ref="B48:B78" si="4">CONCATENATE(C48,"Staff ",A48)</f>
        <v>GRADE 0Staff £30,001 - £40,000</v>
      </c>
      <c r="C48" s="46" t="s">
        <v>142</v>
      </c>
      <c r="D48" s="359">
        <f>'Staff Rates'!C22</f>
        <v>60.582010582010582</v>
      </c>
    </row>
    <row r="49" spans="1:4">
      <c r="A49" s="44" t="s">
        <v>420</v>
      </c>
      <c r="B49" s="45" t="str">
        <f t="shared" si="4"/>
        <v>GRADE 0Staff £40,001 - £50,000</v>
      </c>
      <c r="C49" s="46" t="s">
        <v>142</v>
      </c>
      <c r="D49" s="359">
        <f>'Staff Rates'!D22</f>
        <v>78.174603174603178</v>
      </c>
    </row>
    <row r="50" spans="1:4">
      <c r="A50" s="44" t="s">
        <v>421</v>
      </c>
      <c r="B50" s="45" t="str">
        <f t="shared" si="4"/>
        <v>GRADE 0Staff £50,001 - £60,000</v>
      </c>
      <c r="C50" s="46" t="s">
        <v>142</v>
      </c>
      <c r="D50" s="359">
        <f>'Staff Rates'!E22</f>
        <v>95.767195767195773</v>
      </c>
    </row>
    <row r="51" spans="1:4">
      <c r="A51" s="44" t="s">
        <v>422</v>
      </c>
      <c r="B51" s="45" t="str">
        <f t="shared" si="4"/>
        <v>GRADE 0Staff £60,001 - £70,000</v>
      </c>
      <c r="C51" s="46" t="s">
        <v>142</v>
      </c>
      <c r="D51" s="359">
        <f>'Staff Rates'!F22</f>
        <v>114.44978632478632</v>
      </c>
    </row>
    <row r="52" spans="1:4">
      <c r="A52" s="44" t="s">
        <v>423</v>
      </c>
      <c r="B52" s="45" t="str">
        <f t="shared" si="4"/>
        <v>GRADE 0Staff £70,001 - £80,000</v>
      </c>
      <c r="C52" s="46" t="s">
        <v>142</v>
      </c>
      <c r="D52" s="359">
        <f>'Staff Rates'!G22</f>
        <v>132.21153846153845</v>
      </c>
    </row>
    <row r="53" spans="1:4">
      <c r="A53" s="44" t="s">
        <v>424</v>
      </c>
      <c r="B53" s="45" t="str">
        <f t="shared" si="4"/>
        <v>GRADE 0Staff £80,001 - £90,000</v>
      </c>
      <c r="C53" s="46" t="s">
        <v>142</v>
      </c>
      <c r="D53" s="359">
        <f>'Staff Rates'!H22</f>
        <v>149.97329059829059</v>
      </c>
    </row>
    <row r="54" spans="1:4">
      <c r="A54" s="44" t="s">
        <v>425</v>
      </c>
      <c r="B54" s="45" t="str">
        <f t="shared" si="4"/>
        <v>GRADE 0Staff Over £90,000</v>
      </c>
      <c r="C54" s="46" t="s">
        <v>142</v>
      </c>
      <c r="D54" s="359">
        <f>'Staff Rates'!I22</f>
        <v>167.73504273504273</v>
      </c>
    </row>
    <row r="55" spans="1:4">
      <c r="A55" s="38" t="s">
        <v>445</v>
      </c>
      <c r="B55" s="39" t="s">
        <v>545</v>
      </c>
      <c r="C55" s="40" t="s">
        <v>143</v>
      </c>
      <c r="D55" s="360">
        <f>'Staff Rates'!B23</f>
        <v>32.242063492063494</v>
      </c>
    </row>
    <row r="56" spans="1:4">
      <c r="A56" s="44" t="s">
        <v>419</v>
      </c>
      <c r="B56" s="45" t="str">
        <f t="shared" si="4"/>
        <v>GRADE 1Staff £30,001 - £40,000</v>
      </c>
      <c r="C56" s="46" t="s">
        <v>143</v>
      </c>
      <c r="D56" s="359">
        <f>'Staff Rates'!C23</f>
        <v>45.436507936507937</v>
      </c>
    </row>
    <row r="57" spans="1:4">
      <c r="A57" s="44" t="s">
        <v>420</v>
      </c>
      <c r="B57" s="45" t="str">
        <f t="shared" si="4"/>
        <v>GRADE 1Staff £40,001 - £50,000</v>
      </c>
      <c r="C57" s="46" t="s">
        <v>143</v>
      </c>
      <c r="D57" s="359">
        <f>'Staff Rates'!D23</f>
        <v>58.63095238095238</v>
      </c>
    </row>
    <row r="58" spans="1:4">
      <c r="A58" s="44" t="s">
        <v>421</v>
      </c>
      <c r="B58" s="45" t="str">
        <f t="shared" si="4"/>
        <v>GRADE 1Staff £50,001 - £60,000</v>
      </c>
      <c r="C58" s="46" t="s">
        <v>143</v>
      </c>
      <c r="D58" s="359">
        <f>'Staff Rates'!E23</f>
        <v>71.825396825396837</v>
      </c>
    </row>
    <row r="59" spans="1:4">
      <c r="A59" s="44" t="s">
        <v>422</v>
      </c>
      <c r="B59" s="45" t="str">
        <f t="shared" si="4"/>
        <v>GRADE 1Staff £60,001 - £70,000</v>
      </c>
      <c r="C59" s="46" t="s">
        <v>143</v>
      </c>
      <c r="D59" s="359">
        <f>'Staff Rates'!F23</f>
        <v>85.837339743589737</v>
      </c>
    </row>
    <row r="60" spans="1:4">
      <c r="A60" s="44" t="s">
        <v>423</v>
      </c>
      <c r="B60" s="45" t="str">
        <f t="shared" si="4"/>
        <v>GRADE 1Staff £70,001 - £80,000</v>
      </c>
      <c r="C60" s="46" t="s">
        <v>143</v>
      </c>
      <c r="D60" s="359">
        <f>'Staff Rates'!G23</f>
        <v>99.15865384615384</v>
      </c>
    </row>
    <row r="61" spans="1:4">
      <c r="A61" s="44" t="s">
        <v>424</v>
      </c>
      <c r="B61" s="45" t="str">
        <f t="shared" si="4"/>
        <v>GRADE 1Staff £80,001 - £90,000</v>
      </c>
      <c r="C61" s="46" t="s">
        <v>143</v>
      </c>
      <c r="D61" s="359">
        <f>'Staff Rates'!H23</f>
        <v>112.47996794871794</v>
      </c>
    </row>
    <row r="62" spans="1:4">
      <c r="A62" s="44" t="s">
        <v>425</v>
      </c>
      <c r="B62" s="45" t="str">
        <f t="shared" si="4"/>
        <v>GRADE 1Staff Over £90,000</v>
      </c>
      <c r="C62" s="46" t="s">
        <v>143</v>
      </c>
      <c r="D62" s="359">
        <f>'Staff Rates'!I23</f>
        <v>125.80128205128204</v>
      </c>
    </row>
    <row r="63" spans="1:4">
      <c r="A63" s="38" t="s">
        <v>445</v>
      </c>
      <c r="B63" s="39" t="s">
        <v>543</v>
      </c>
      <c r="C63" s="40" t="s">
        <v>144</v>
      </c>
      <c r="D63" s="360">
        <f>'Staff Rates'!B24</f>
        <v>32.242063492063494</v>
      </c>
    </row>
    <row r="64" spans="1:4">
      <c r="A64" s="44" t="s">
        <v>419</v>
      </c>
      <c r="B64" s="45" t="str">
        <f t="shared" si="4"/>
        <v>GRADE 2Staff £30,001 - £40,000</v>
      </c>
      <c r="C64" s="46" t="s">
        <v>144</v>
      </c>
      <c r="D64" s="359">
        <f>'Staff Rates'!C24</f>
        <v>45.436507936507937</v>
      </c>
    </row>
    <row r="65" spans="1:4">
      <c r="A65" s="44" t="s">
        <v>420</v>
      </c>
      <c r="B65" s="45" t="str">
        <f t="shared" si="4"/>
        <v>GRADE 2Staff £40,001 - £50,000</v>
      </c>
      <c r="C65" s="46" t="s">
        <v>144</v>
      </c>
      <c r="D65" s="359">
        <f>'Staff Rates'!D24</f>
        <v>58.63095238095238</v>
      </c>
    </row>
    <row r="66" spans="1:4">
      <c r="A66" s="44" t="s">
        <v>421</v>
      </c>
      <c r="B66" s="45" t="str">
        <f t="shared" si="4"/>
        <v>GRADE 2Staff £50,001 - £60,000</v>
      </c>
      <c r="C66" s="46" t="s">
        <v>144</v>
      </c>
      <c r="D66" s="359">
        <f>'Staff Rates'!E24</f>
        <v>71.825396825396837</v>
      </c>
    </row>
    <row r="67" spans="1:4">
      <c r="A67" s="44" t="s">
        <v>422</v>
      </c>
      <c r="B67" s="45" t="str">
        <f t="shared" si="4"/>
        <v>GRADE 2Staff £60,001 - £70,000</v>
      </c>
      <c r="C67" s="46" t="s">
        <v>144</v>
      </c>
      <c r="D67" s="359">
        <f>'Staff Rates'!F24</f>
        <v>85.837339743589737</v>
      </c>
    </row>
    <row r="68" spans="1:4">
      <c r="A68" s="44" t="s">
        <v>423</v>
      </c>
      <c r="B68" s="45" t="str">
        <f t="shared" si="4"/>
        <v>GRADE 2Staff £70,001 - £80,000</v>
      </c>
      <c r="C68" s="46" t="s">
        <v>144</v>
      </c>
      <c r="D68" s="359">
        <f>'Staff Rates'!G24</f>
        <v>99.15865384615384</v>
      </c>
    </row>
    <row r="69" spans="1:4">
      <c r="A69" s="44" t="s">
        <v>424</v>
      </c>
      <c r="B69" s="45" t="str">
        <f t="shared" si="4"/>
        <v>GRADE 2Staff £80,001 - £90,000</v>
      </c>
      <c r="C69" s="46" t="s">
        <v>144</v>
      </c>
      <c r="D69" s="359">
        <f>'Staff Rates'!H24</f>
        <v>112.47996794871794</v>
      </c>
    </row>
    <row r="70" spans="1:4">
      <c r="A70" s="44" t="s">
        <v>425</v>
      </c>
      <c r="B70" s="45" t="str">
        <f t="shared" si="4"/>
        <v>GRADE 2Staff Over £90,000</v>
      </c>
      <c r="C70" s="46" t="s">
        <v>144</v>
      </c>
      <c r="D70" s="359">
        <f>'Staff Rates'!I24</f>
        <v>125.80128205128204</v>
      </c>
    </row>
    <row r="71" spans="1:4">
      <c r="A71" s="38" t="s">
        <v>418</v>
      </c>
      <c r="B71" s="39" t="str">
        <f t="shared" si="4"/>
        <v>GRADE 3Staff £20,000 - £30,000</v>
      </c>
      <c r="C71" s="40" t="s">
        <v>397</v>
      </c>
      <c r="D71" s="360">
        <f>'Staff Rates'!B25</f>
        <v>32.242063492063494</v>
      </c>
    </row>
    <row r="72" spans="1:4">
      <c r="A72" s="44" t="s">
        <v>419</v>
      </c>
      <c r="B72" s="45" t="str">
        <f t="shared" si="4"/>
        <v>GRADE 3Staff £30,001 - £40,000</v>
      </c>
      <c r="C72" s="46" t="s">
        <v>397</v>
      </c>
      <c r="D72" s="359">
        <f>'Staff Rates'!C25</f>
        <v>45.436507936507937</v>
      </c>
    </row>
    <row r="73" spans="1:4">
      <c r="A73" s="44" t="s">
        <v>420</v>
      </c>
      <c r="B73" s="45" t="str">
        <f t="shared" si="4"/>
        <v>GRADE 3Staff £40,001 - £50,000</v>
      </c>
      <c r="C73" s="46" t="s">
        <v>397</v>
      </c>
      <c r="D73" s="359">
        <f>'Staff Rates'!D25</f>
        <v>58.63095238095238</v>
      </c>
    </row>
    <row r="74" spans="1:4">
      <c r="A74" s="44" t="s">
        <v>421</v>
      </c>
      <c r="B74" s="45" t="str">
        <f t="shared" si="4"/>
        <v>GRADE 3Staff £50,001 - £60,000</v>
      </c>
      <c r="C74" s="46" t="s">
        <v>397</v>
      </c>
      <c r="D74" s="359">
        <f>'Staff Rates'!E25</f>
        <v>71.825396825396837</v>
      </c>
    </row>
    <row r="75" spans="1:4">
      <c r="A75" s="44" t="s">
        <v>422</v>
      </c>
      <c r="B75" s="45" t="str">
        <f t="shared" si="4"/>
        <v>GRADE 3Staff £60,001 - £70,000</v>
      </c>
      <c r="C75" s="46" t="s">
        <v>397</v>
      </c>
      <c r="D75" s="359">
        <f>'Staff Rates'!F25</f>
        <v>85.837339743589737</v>
      </c>
    </row>
    <row r="76" spans="1:4">
      <c r="A76" s="44" t="s">
        <v>423</v>
      </c>
      <c r="B76" s="45" t="str">
        <f t="shared" si="4"/>
        <v>GRADE 3Staff £70,001 - £80,000</v>
      </c>
      <c r="C76" s="46" t="s">
        <v>397</v>
      </c>
      <c r="D76" s="359">
        <f>'Staff Rates'!G25</f>
        <v>99.15865384615384</v>
      </c>
    </row>
    <row r="77" spans="1:4">
      <c r="A77" s="44" t="s">
        <v>424</v>
      </c>
      <c r="B77" s="45" t="str">
        <f t="shared" si="4"/>
        <v>GRADE 3Staff £80,001 - £90,000</v>
      </c>
      <c r="C77" s="46" t="s">
        <v>397</v>
      </c>
      <c r="D77" s="359">
        <f>'Staff Rates'!H25</f>
        <v>112.47996794871794</v>
      </c>
    </row>
    <row r="78" spans="1:4">
      <c r="A78" s="44" t="s">
        <v>425</v>
      </c>
      <c r="B78" s="45" t="str">
        <f t="shared" si="4"/>
        <v>GRADE 3Staff Over £90,000</v>
      </c>
      <c r="C78" s="46" t="s">
        <v>397</v>
      </c>
      <c r="D78" s="359">
        <f>'Staff Rates'!I25</f>
        <v>125.80128205128204</v>
      </c>
    </row>
    <row r="79" spans="1:4">
      <c r="A79" s="38" t="s">
        <v>445</v>
      </c>
      <c r="B79" s="39" t="str">
        <f>CONCATENATE(C79," ",A79)</f>
        <v>ATTACHMENT £20,000-£30,000</v>
      </c>
      <c r="C79" s="40" t="s">
        <v>163</v>
      </c>
      <c r="D79" s="41">
        <f>Ranks!F11</f>
        <v>0</v>
      </c>
    </row>
    <row r="80" spans="1:4">
      <c r="A80" s="44" t="s">
        <v>419</v>
      </c>
      <c r="B80" s="45" t="str">
        <f t="shared" ref="B80:B102" si="5">CONCATENATE(C80," ",A80)</f>
        <v>ATTACHMENT £30,001 - £40,000</v>
      </c>
      <c r="C80" s="46" t="s">
        <v>163</v>
      </c>
      <c r="D80" s="47">
        <f>Ranks!F12</f>
        <v>0</v>
      </c>
    </row>
    <row r="81" spans="1:4">
      <c r="A81" s="44" t="s">
        <v>420</v>
      </c>
      <c r="B81" s="45" t="str">
        <f t="shared" si="5"/>
        <v>ATTACHMENT £40,001 - £50,000</v>
      </c>
      <c r="C81" s="46" t="s">
        <v>163</v>
      </c>
      <c r="D81" s="47">
        <f>Ranks!F13</f>
        <v>0</v>
      </c>
    </row>
    <row r="82" spans="1:4">
      <c r="A82" s="44" t="s">
        <v>421</v>
      </c>
      <c r="B82" s="45" t="str">
        <f t="shared" si="5"/>
        <v>ATTACHMENT £50,001 - £60,000</v>
      </c>
      <c r="C82" s="46" t="s">
        <v>163</v>
      </c>
      <c r="D82" s="47">
        <f>Ranks!F14</f>
        <v>0</v>
      </c>
    </row>
    <row r="83" spans="1:4">
      <c r="A83" s="44" t="s">
        <v>422</v>
      </c>
      <c r="B83" s="45" t="str">
        <f t="shared" si="5"/>
        <v>ATTACHMENT £60,001 - £70,000</v>
      </c>
      <c r="C83" s="46" t="s">
        <v>163</v>
      </c>
      <c r="D83" s="47">
        <f>Ranks!F15</f>
        <v>0</v>
      </c>
    </row>
    <row r="84" spans="1:4">
      <c r="A84" s="44" t="s">
        <v>423</v>
      </c>
      <c r="B84" s="45" t="str">
        <f t="shared" si="5"/>
        <v>ATTACHMENT £70,001 - £80,000</v>
      </c>
      <c r="C84" s="46" t="s">
        <v>163</v>
      </c>
      <c r="D84" s="47">
        <f>Ranks!F16</f>
        <v>0</v>
      </c>
    </row>
    <row r="85" spans="1:4">
      <c r="A85" s="44" t="s">
        <v>424</v>
      </c>
      <c r="B85" s="45" t="str">
        <f t="shared" si="5"/>
        <v>ATTACHMENT £80,001 - £90,000</v>
      </c>
      <c r="C85" s="46" t="s">
        <v>163</v>
      </c>
      <c r="D85" s="47">
        <f>Ranks!F17</f>
        <v>0</v>
      </c>
    </row>
    <row r="86" spans="1:4">
      <c r="A86" s="48" t="s">
        <v>425</v>
      </c>
      <c r="B86" s="49" t="str">
        <f t="shared" si="5"/>
        <v>ATTACHMENT Over £90,000</v>
      </c>
      <c r="C86" s="46" t="s">
        <v>163</v>
      </c>
      <c r="D86" s="47">
        <f>Ranks!F18</f>
        <v>0</v>
      </c>
    </row>
    <row r="87" spans="1:4">
      <c r="A87" s="38" t="s">
        <v>445</v>
      </c>
      <c r="B87" s="39" t="str">
        <f>CONCATENATE(C87," ",A87)</f>
        <v>PROLONGED MUTUAL AID £20,000-£30,000</v>
      </c>
      <c r="C87" s="40" t="s">
        <v>160</v>
      </c>
      <c r="D87" s="41">
        <f>Ranks!G11</f>
        <v>0</v>
      </c>
    </row>
    <row r="88" spans="1:4">
      <c r="A88" s="44" t="s">
        <v>419</v>
      </c>
      <c r="B88" s="45" t="str">
        <f t="shared" si="5"/>
        <v>PROLONGED MUTUAL AID £30,001 - £40,000</v>
      </c>
      <c r="C88" s="46" t="s">
        <v>160</v>
      </c>
      <c r="D88" s="47">
        <f>Ranks!G12</f>
        <v>0</v>
      </c>
    </row>
    <row r="89" spans="1:4">
      <c r="A89" s="44" t="s">
        <v>420</v>
      </c>
      <c r="B89" s="45" t="str">
        <f t="shared" si="5"/>
        <v>PROLONGED MUTUAL AID £40,001 - £50,000</v>
      </c>
      <c r="C89" s="46" t="s">
        <v>160</v>
      </c>
      <c r="D89" s="47">
        <f>Ranks!G13</f>
        <v>0</v>
      </c>
    </row>
    <row r="90" spans="1:4">
      <c r="A90" s="44" t="s">
        <v>421</v>
      </c>
      <c r="B90" s="45" t="str">
        <f t="shared" si="5"/>
        <v>PROLONGED MUTUAL AID £50,001 - £60,000</v>
      </c>
      <c r="C90" s="46" t="s">
        <v>160</v>
      </c>
      <c r="D90" s="47">
        <f>Ranks!G14</f>
        <v>0</v>
      </c>
    </row>
    <row r="91" spans="1:4">
      <c r="A91" s="44" t="s">
        <v>422</v>
      </c>
      <c r="B91" s="45" t="str">
        <f t="shared" si="5"/>
        <v>PROLONGED MUTUAL AID £60,001 - £70,000</v>
      </c>
      <c r="C91" s="46" t="s">
        <v>160</v>
      </c>
      <c r="D91" s="47">
        <f>Ranks!G15</f>
        <v>0</v>
      </c>
    </row>
    <row r="92" spans="1:4">
      <c r="A92" s="44" t="s">
        <v>423</v>
      </c>
      <c r="B92" s="45" t="str">
        <f t="shared" si="5"/>
        <v>PROLONGED MUTUAL AID £70,001 - £80,000</v>
      </c>
      <c r="C92" s="46" t="s">
        <v>160</v>
      </c>
      <c r="D92" s="47">
        <f>Ranks!G16</f>
        <v>0</v>
      </c>
    </row>
    <row r="93" spans="1:4">
      <c r="A93" s="44" t="s">
        <v>424</v>
      </c>
      <c r="B93" s="45" t="str">
        <f t="shared" si="5"/>
        <v>PROLONGED MUTUAL AID £80,001 - £90,000</v>
      </c>
      <c r="C93" s="46" t="s">
        <v>160</v>
      </c>
      <c r="D93" s="47">
        <f>Ranks!G17</f>
        <v>0</v>
      </c>
    </row>
    <row r="94" spans="1:4">
      <c r="A94" s="48" t="s">
        <v>425</v>
      </c>
      <c r="B94" s="49" t="str">
        <f t="shared" si="5"/>
        <v>PROLONGED MUTUAL AID Over £90,000</v>
      </c>
      <c r="C94" s="50" t="s">
        <v>160</v>
      </c>
      <c r="D94" s="51">
        <f>Ranks!G18</f>
        <v>0</v>
      </c>
    </row>
    <row r="95" spans="1:4">
      <c r="A95" s="38" t="s">
        <v>445</v>
      </c>
      <c r="B95" s="45" t="str">
        <f>CONCATENATE(C95," ",A95)</f>
        <v>SECONDMENT £20,000-£30,000</v>
      </c>
      <c r="C95" s="46" t="s">
        <v>161</v>
      </c>
      <c r="D95" s="47">
        <f t="shared" ref="D95:D102" si="6">D79</f>
        <v>0</v>
      </c>
    </row>
    <row r="96" spans="1:4">
      <c r="A96" s="44" t="s">
        <v>419</v>
      </c>
      <c r="B96" s="45" t="str">
        <f t="shared" si="5"/>
        <v>SECONDMENT £30,001 - £40,000</v>
      </c>
      <c r="C96" s="46" t="s">
        <v>161</v>
      </c>
      <c r="D96" s="47">
        <f t="shared" si="6"/>
        <v>0</v>
      </c>
    </row>
    <row r="97" spans="1:4">
      <c r="A97" s="44" t="s">
        <v>420</v>
      </c>
      <c r="B97" s="45" t="str">
        <f t="shared" si="5"/>
        <v>SECONDMENT £40,001 - £50,000</v>
      </c>
      <c r="C97" s="46" t="s">
        <v>161</v>
      </c>
      <c r="D97" s="47">
        <f t="shared" si="6"/>
        <v>0</v>
      </c>
    </row>
    <row r="98" spans="1:4">
      <c r="A98" s="44" t="s">
        <v>421</v>
      </c>
      <c r="B98" s="45" t="str">
        <f t="shared" si="5"/>
        <v>SECONDMENT £50,001 - £60,000</v>
      </c>
      <c r="C98" s="46" t="s">
        <v>161</v>
      </c>
      <c r="D98" s="47">
        <f t="shared" si="6"/>
        <v>0</v>
      </c>
    </row>
    <row r="99" spans="1:4">
      <c r="A99" s="44" t="s">
        <v>422</v>
      </c>
      <c r="B99" s="45" t="str">
        <f t="shared" si="5"/>
        <v>SECONDMENT £60,001 - £70,000</v>
      </c>
      <c r="C99" s="46" t="s">
        <v>161</v>
      </c>
      <c r="D99" s="47">
        <f t="shared" si="6"/>
        <v>0</v>
      </c>
    </row>
    <row r="100" spans="1:4">
      <c r="A100" s="44" t="s">
        <v>423</v>
      </c>
      <c r="B100" s="45" t="str">
        <f t="shared" si="5"/>
        <v>SECONDMENT £70,001 - £80,000</v>
      </c>
      <c r="C100" s="46" t="s">
        <v>161</v>
      </c>
      <c r="D100" s="47">
        <f t="shared" si="6"/>
        <v>0</v>
      </c>
    </row>
    <row r="101" spans="1:4">
      <c r="A101" s="44" t="s">
        <v>424</v>
      </c>
      <c r="B101" s="45" t="str">
        <f t="shared" si="5"/>
        <v>SECONDMENT £80,001 - £90,000</v>
      </c>
      <c r="C101" s="46" t="s">
        <v>161</v>
      </c>
      <c r="D101" s="47">
        <f t="shared" si="6"/>
        <v>0</v>
      </c>
    </row>
    <row r="102" spans="1:4">
      <c r="A102" s="48" t="s">
        <v>425</v>
      </c>
      <c r="B102" s="49" t="str">
        <f t="shared" si="5"/>
        <v>SECONDMENT Over £90,000</v>
      </c>
      <c r="C102" s="50" t="s">
        <v>161</v>
      </c>
      <c r="D102" s="51">
        <f t="shared" si="6"/>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B2:R82"/>
  <sheetViews>
    <sheetView topLeftCell="A3" workbookViewId="0">
      <selection activeCell="H34" sqref="H34:I34"/>
    </sheetView>
  </sheetViews>
  <sheetFormatPr defaultColWidth="8.88671875" defaultRowHeight="12.75"/>
  <cols>
    <col min="1" max="1" width="2.109375" style="12" customWidth="1"/>
    <col min="2" max="2" width="28.21875" style="12" bestFit="1" customWidth="1"/>
    <col min="3" max="3" width="9.33203125" style="12" bestFit="1" customWidth="1"/>
    <col min="4" max="7" width="8.88671875" style="12"/>
    <col min="8" max="8" width="31.5546875" style="12" bestFit="1" customWidth="1"/>
    <col min="9" max="9" width="12.21875" style="12" bestFit="1" customWidth="1"/>
    <col min="10" max="10" width="14.77734375" style="13" bestFit="1" customWidth="1"/>
    <col min="11" max="11" width="2" style="12" customWidth="1"/>
    <col min="12" max="12" width="26.77734375" style="12" bestFit="1" customWidth="1"/>
    <col min="13" max="13" width="12.21875" style="12" bestFit="1" customWidth="1"/>
    <col min="14" max="14" width="14.77734375" style="12" bestFit="1" customWidth="1"/>
    <col min="15" max="15" width="2.88671875" style="12" customWidth="1"/>
    <col min="16" max="16" width="26.77734375" style="12" bestFit="1" customWidth="1"/>
    <col min="17" max="17" width="11" style="12" bestFit="1" customWidth="1"/>
    <col min="18" max="16384" width="8.88671875" style="12"/>
  </cols>
  <sheetData>
    <row r="2" spans="2:18">
      <c r="B2" s="418" t="s">
        <v>114</v>
      </c>
      <c r="C2" s="418" t="s">
        <v>115</v>
      </c>
      <c r="H2" s="36" t="s">
        <v>406</v>
      </c>
      <c r="L2" s="36" t="s">
        <v>408</v>
      </c>
      <c r="N2" s="13"/>
    </row>
    <row r="3" spans="2:18" ht="18" customHeight="1">
      <c r="B3" s="12" t="s">
        <v>116</v>
      </c>
      <c r="C3" s="418" t="s">
        <v>107</v>
      </c>
      <c r="H3" s="419" t="s">
        <v>389</v>
      </c>
      <c r="I3" s="420" t="s">
        <v>209</v>
      </c>
      <c r="J3" s="420" t="s">
        <v>390</v>
      </c>
      <c r="L3" s="419" t="s">
        <v>389</v>
      </c>
      <c r="M3" s="420" t="s">
        <v>209</v>
      </c>
      <c r="N3" s="420" t="s">
        <v>390</v>
      </c>
    </row>
    <row r="4" spans="2:18">
      <c r="B4" s="12" t="s">
        <v>117</v>
      </c>
      <c r="C4" s="12" t="s">
        <v>118</v>
      </c>
      <c r="H4" s="495" t="s">
        <v>212</v>
      </c>
      <c r="I4" s="496">
        <v>62</v>
      </c>
      <c r="J4" s="496">
        <v>5</v>
      </c>
      <c r="L4" s="495" t="s">
        <v>212</v>
      </c>
      <c r="M4" s="496">
        <f>ROUND((I4*1.05),0)</f>
        <v>65</v>
      </c>
      <c r="N4" s="496">
        <v>5</v>
      </c>
    </row>
    <row r="5" spans="2:18">
      <c r="B5" s="12" t="s">
        <v>119</v>
      </c>
      <c r="C5" s="12" t="s">
        <v>120</v>
      </c>
      <c r="H5" s="495" t="s">
        <v>213</v>
      </c>
      <c r="I5" s="496">
        <v>38</v>
      </c>
      <c r="J5" s="496">
        <v>6</v>
      </c>
      <c r="L5" s="495" t="s">
        <v>213</v>
      </c>
      <c r="M5" s="496">
        <f t="shared" ref="M5:M12" si="0">ROUND((I5*1.05),0)</f>
        <v>40</v>
      </c>
      <c r="N5" s="496">
        <v>6</v>
      </c>
    </row>
    <row r="6" spans="2:18">
      <c r="B6" s="12" t="s">
        <v>121</v>
      </c>
      <c r="C6" s="12" t="s">
        <v>122</v>
      </c>
      <c r="H6" s="495" t="s">
        <v>394</v>
      </c>
      <c r="I6" s="496">
        <v>51</v>
      </c>
      <c r="J6" s="496" t="s">
        <v>159</v>
      </c>
      <c r="L6" s="495" t="s">
        <v>394</v>
      </c>
      <c r="M6" s="496">
        <f t="shared" si="0"/>
        <v>54</v>
      </c>
      <c r="N6" s="496" t="s">
        <v>159</v>
      </c>
    </row>
    <row r="7" spans="2:18">
      <c r="B7" s="12" t="s">
        <v>123</v>
      </c>
      <c r="C7" s="12" t="s">
        <v>124</v>
      </c>
      <c r="H7" s="495" t="s">
        <v>214</v>
      </c>
      <c r="I7" s="496">
        <v>43</v>
      </c>
      <c r="J7" s="496">
        <v>6</v>
      </c>
      <c r="L7" s="495" t="s">
        <v>214</v>
      </c>
      <c r="M7" s="496">
        <f t="shared" si="0"/>
        <v>45</v>
      </c>
      <c r="N7" s="496">
        <v>6</v>
      </c>
    </row>
    <row r="8" spans="2:18">
      <c r="H8" s="495" t="s">
        <v>202</v>
      </c>
      <c r="I8" s="496">
        <v>33</v>
      </c>
      <c r="J8" s="496">
        <v>7</v>
      </c>
      <c r="L8" s="495" t="s">
        <v>202</v>
      </c>
      <c r="M8" s="496">
        <f t="shared" si="0"/>
        <v>35</v>
      </c>
      <c r="N8" s="496">
        <v>7</v>
      </c>
    </row>
    <row r="9" spans="2:18">
      <c r="H9" s="495" t="s">
        <v>215</v>
      </c>
      <c r="I9" s="496">
        <v>33</v>
      </c>
      <c r="J9" s="496">
        <v>8</v>
      </c>
      <c r="L9" s="495" t="s">
        <v>215</v>
      </c>
      <c r="M9" s="496">
        <f t="shared" si="0"/>
        <v>35</v>
      </c>
      <c r="N9" s="496">
        <v>8</v>
      </c>
    </row>
    <row r="10" spans="2:18">
      <c r="B10" s="418" t="s">
        <v>125</v>
      </c>
      <c r="C10" s="418" t="s">
        <v>115</v>
      </c>
      <c r="H10" s="495" t="s">
        <v>216</v>
      </c>
      <c r="I10" s="496">
        <v>51</v>
      </c>
      <c r="J10" s="496">
        <v>5</v>
      </c>
      <c r="L10" s="495" t="s">
        <v>216</v>
      </c>
      <c r="M10" s="496">
        <f t="shared" si="0"/>
        <v>54</v>
      </c>
      <c r="N10" s="496">
        <v>5</v>
      </c>
    </row>
    <row r="11" spans="2:18">
      <c r="B11" s="12" t="s">
        <v>126</v>
      </c>
      <c r="H11" s="495" t="s">
        <v>217</v>
      </c>
      <c r="I11" s="496">
        <v>62</v>
      </c>
      <c r="J11" s="496">
        <v>4</v>
      </c>
      <c r="L11" s="495" t="s">
        <v>217</v>
      </c>
      <c r="M11" s="496">
        <f t="shared" si="0"/>
        <v>65</v>
      </c>
      <c r="N11" s="496">
        <v>4</v>
      </c>
    </row>
    <row r="12" spans="2:18">
      <c r="B12" s="12" t="s">
        <v>127</v>
      </c>
      <c r="C12" s="12" t="s">
        <v>125</v>
      </c>
      <c r="H12" s="495" t="s">
        <v>391</v>
      </c>
      <c r="I12" s="496">
        <v>124</v>
      </c>
      <c r="J12" s="496" t="s">
        <v>159</v>
      </c>
      <c r="L12" s="495" t="s">
        <v>391</v>
      </c>
      <c r="M12" s="496">
        <f t="shared" si="0"/>
        <v>130</v>
      </c>
      <c r="N12" s="496" t="s">
        <v>159</v>
      </c>
    </row>
    <row r="13" spans="2:18">
      <c r="B13" s="12" t="s">
        <v>128</v>
      </c>
      <c r="C13" s="12" t="s">
        <v>125</v>
      </c>
      <c r="H13" s="495" t="s">
        <v>392</v>
      </c>
      <c r="I13" s="496" t="s">
        <v>393</v>
      </c>
      <c r="J13" s="496" t="s">
        <v>393</v>
      </c>
      <c r="L13" s="495" t="s">
        <v>392</v>
      </c>
      <c r="M13" s="496" t="s">
        <v>393</v>
      </c>
      <c r="N13" s="496" t="s">
        <v>393</v>
      </c>
    </row>
    <row r="14" spans="2:18">
      <c r="B14" s="12" t="s">
        <v>383</v>
      </c>
      <c r="C14" s="12" t="s">
        <v>125</v>
      </c>
    </row>
    <row r="15" spans="2:18">
      <c r="B15" s="12" t="s">
        <v>129</v>
      </c>
      <c r="C15" s="12" t="s">
        <v>130</v>
      </c>
    </row>
    <row r="16" spans="2:18">
      <c r="H16" s="36" t="s">
        <v>403</v>
      </c>
      <c r="L16" s="36" t="s">
        <v>404</v>
      </c>
      <c r="N16" s="13"/>
      <c r="P16" s="36" t="s">
        <v>405</v>
      </c>
      <c r="R16" s="13"/>
    </row>
    <row r="17" spans="2:18" ht="25.5">
      <c r="H17" s="419" t="s">
        <v>389</v>
      </c>
      <c r="I17" s="420" t="s">
        <v>209</v>
      </c>
      <c r="J17" s="420" t="s">
        <v>390</v>
      </c>
      <c r="L17" s="34" t="s">
        <v>389</v>
      </c>
      <c r="M17" s="35" t="s">
        <v>209</v>
      </c>
      <c r="N17" s="35" t="s">
        <v>390</v>
      </c>
      <c r="P17" s="34" t="s">
        <v>389</v>
      </c>
      <c r="Q17" s="34" t="s">
        <v>209</v>
      </c>
      <c r="R17" s="34" t="s">
        <v>390</v>
      </c>
    </row>
    <row r="18" spans="2:18">
      <c r="H18" s="495" t="s">
        <v>212</v>
      </c>
      <c r="I18" s="496">
        <v>59</v>
      </c>
      <c r="J18" s="496">
        <v>5</v>
      </c>
      <c r="L18" s="14" t="s">
        <v>212</v>
      </c>
      <c r="M18" s="497">
        <v>56</v>
      </c>
      <c r="N18" s="497">
        <v>5</v>
      </c>
      <c r="P18" s="14" t="s">
        <v>212</v>
      </c>
      <c r="Q18" s="497">
        <v>55</v>
      </c>
      <c r="R18" s="497">
        <v>5</v>
      </c>
    </row>
    <row r="19" spans="2:18" ht="13.5" thickBot="1">
      <c r="H19" s="495" t="s">
        <v>213</v>
      </c>
      <c r="I19" s="496">
        <v>36</v>
      </c>
      <c r="J19" s="496">
        <v>6</v>
      </c>
      <c r="L19" s="14" t="s">
        <v>213</v>
      </c>
      <c r="M19" s="497">
        <v>34</v>
      </c>
      <c r="N19" s="497">
        <v>6</v>
      </c>
      <c r="P19" s="14" t="s">
        <v>213</v>
      </c>
      <c r="Q19" s="497">
        <v>33</v>
      </c>
      <c r="R19" s="497">
        <v>6</v>
      </c>
    </row>
    <row r="20" spans="2:18" ht="26.25" thickTop="1">
      <c r="B20" s="421" t="s">
        <v>208</v>
      </c>
      <c r="C20" s="421" t="s">
        <v>209</v>
      </c>
      <c r="D20" s="421" t="s">
        <v>210</v>
      </c>
      <c r="E20" s="422" t="s">
        <v>211</v>
      </c>
      <c r="H20" s="495" t="s">
        <v>394</v>
      </c>
      <c r="I20" s="496">
        <v>48</v>
      </c>
      <c r="J20" s="496" t="s">
        <v>159</v>
      </c>
      <c r="L20" s="14" t="s">
        <v>394</v>
      </c>
      <c r="M20" s="497">
        <v>45</v>
      </c>
      <c r="N20" s="497" t="s">
        <v>159</v>
      </c>
      <c r="P20" s="14" t="s">
        <v>394</v>
      </c>
      <c r="Q20" s="497">
        <v>44</v>
      </c>
      <c r="R20" s="497" t="s">
        <v>159</v>
      </c>
    </row>
    <row r="21" spans="2:18" ht="21.75" customHeight="1">
      <c r="B21" s="423" t="s">
        <v>192</v>
      </c>
      <c r="C21" s="423"/>
      <c r="D21" s="423"/>
      <c r="E21" s="424"/>
      <c r="H21" s="495" t="s">
        <v>214</v>
      </c>
      <c r="I21" s="496">
        <v>41</v>
      </c>
      <c r="J21" s="496">
        <v>6</v>
      </c>
      <c r="L21" s="14" t="s">
        <v>214</v>
      </c>
      <c r="M21" s="497">
        <v>39</v>
      </c>
      <c r="N21" s="497">
        <v>6</v>
      </c>
      <c r="P21" s="14" t="s">
        <v>214</v>
      </c>
      <c r="Q21" s="497">
        <v>38</v>
      </c>
      <c r="R21" s="497">
        <v>6</v>
      </c>
    </row>
    <row r="22" spans="2:18">
      <c r="B22" s="14" t="s">
        <v>212</v>
      </c>
      <c r="C22" s="497">
        <f>ROUND((I33*1.02),0)</f>
        <v>69</v>
      </c>
      <c r="D22" s="495">
        <v>5</v>
      </c>
      <c r="E22" s="498">
        <f>'MA CLAIM FORM'!$F$130/D22</f>
        <v>0.29399999999999998</v>
      </c>
      <c r="H22" s="495" t="s">
        <v>202</v>
      </c>
      <c r="I22" s="496">
        <v>31</v>
      </c>
      <c r="J22" s="496">
        <v>7</v>
      </c>
      <c r="L22" s="14" t="s">
        <v>202</v>
      </c>
      <c r="M22" s="497">
        <v>29</v>
      </c>
      <c r="N22" s="497">
        <v>7</v>
      </c>
      <c r="P22" s="14" t="s">
        <v>202</v>
      </c>
      <c r="Q22" s="497">
        <v>28</v>
      </c>
      <c r="R22" s="497">
        <v>7</v>
      </c>
    </row>
    <row r="23" spans="2:18">
      <c r="B23" s="14" t="s">
        <v>213</v>
      </c>
      <c r="C23" s="497">
        <f t="shared" ref="C23:C31" si="1">ROUND((I34*1.02),0)</f>
        <v>43</v>
      </c>
      <c r="D23" s="495">
        <v>6</v>
      </c>
      <c r="E23" s="498">
        <f>'MA CLAIM FORM'!$F$130/D23</f>
        <v>0.245</v>
      </c>
      <c r="H23" s="495" t="s">
        <v>215</v>
      </c>
      <c r="I23" s="496">
        <v>31</v>
      </c>
      <c r="J23" s="496">
        <v>8</v>
      </c>
      <c r="L23" s="14" t="s">
        <v>215</v>
      </c>
      <c r="M23" s="497">
        <v>29</v>
      </c>
      <c r="N23" s="497">
        <v>8</v>
      </c>
      <c r="P23" s="14" t="s">
        <v>215</v>
      </c>
      <c r="Q23" s="497">
        <v>28</v>
      </c>
      <c r="R23" s="497">
        <v>8</v>
      </c>
    </row>
    <row r="24" spans="2:18">
      <c r="B24" s="14" t="s">
        <v>394</v>
      </c>
      <c r="C24" s="497">
        <v>56</v>
      </c>
      <c r="D24" s="499">
        <v>2.5</v>
      </c>
      <c r="E24" s="498">
        <v>0.20399999999999999</v>
      </c>
      <c r="F24" s="500" t="s">
        <v>536</v>
      </c>
      <c r="H24" s="495" t="s">
        <v>216</v>
      </c>
      <c r="I24" s="496">
        <v>48</v>
      </c>
      <c r="J24" s="496">
        <v>5</v>
      </c>
      <c r="L24" s="14" t="s">
        <v>216</v>
      </c>
      <c r="M24" s="497">
        <v>45</v>
      </c>
      <c r="N24" s="497">
        <v>5</v>
      </c>
      <c r="P24" s="14" t="s">
        <v>216</v>
      </c>
      <c r="Q24" s="497">
        <v>44</v>
      </c>
      <c r="R24" s="497">
        <v>5</v>
      </c>
    </row>
    <row r="25" spans="2:18">
      <c r="B25" s="14" t="s">
        <v>214</v>
      </c>
      <c r="C25" s="497">
        <v>47</v>
      </c>
      <c r="D25" s="495">
        <v>6</v>
      </c>
      <c r="E25" s="498">
        <f>'MA CLAIM FORM'!$F$130/D25</f>
        <v>0.245</v>
      </c>
      <c r="H25" s="495" t="s">
        <v>217</v>
      </c>
      <c r="I25" s="496">
        <v>59</v>
      </c>
      <c r="J25" s="496">
        <v>4</v>
      </c>
      <c r="L25" s="14" t="s">
        <v>217</v>
      </c>
      <c r="M25" s="497">
        <v>56</v>
      </c>
      <c r="N25" s="497">
        <v>4</v>
      </c>
      <c r="P25" s="14" t="s">
        <v>217</v>
      </c>
      <c r="Q25" s="497">
        <v>55</v>
      </c>
      <c r="R25" s="497">
        <v>4</v>
      </c>
    </row>
    <row r="26" spans="2:18">
      <c r="B26" s="14" t="s">
        <v>202</v>
      </c>
      <c r="C26" s="497">
        <f t="shared" si="1"/>
        <v>37</v>
      </c>
      <c r="D26" s="495">
        <v>7</v>
      </c>
      <c r="E26" s="498">
        <f>'MA CLAIM FORM'!$F$130/D26</f>
        <v>0.21</v>
      </c>
      <c r="H26" s="495" t="s">
        <v>391</v>
      </c>
      <c r="I26" s="496">
        <v>118</v>
      </c>
      <c r="J26" s="496" t="s">
        <v>159</v>
      </c>
      <c r="L26" s="14" t="s">
        <v>391</v>
      </c>
      <c r="M26" s="497">
        <v>112</v>
      </c>
      <c r="N26" s="497" t="s">
        <v>159</v>
      </c>
      <c r="P26" s="14" t="s">
        <v>391</v>
      </c>
      <c r="Q26" s="497">
        <v>110</v>
      </c>
      <c r="R26" s="497" t="s">
        <v>159</v>
      </c>
    </row>
    <row r="27" spans="2:18">
      <c r="B27" s="14" t="s">
        <v>215</v>
      </c>
      <c r="C27" s="497">
        <v>36</v>
      </c>
      <c r="D27" s="495">
        <v>8</v>
      </c>
      <c r="E27" s="498">
        <f>'MA CLAIM FORM'!$F$129/D27</f>
        <v>0.17374999999999999</v>
      </c>
      <c r="H27" s="495" t="s">
        <v>392</v>
      </c>
      <c r="I27" s="496" t="s">
        <v>393</v>
      </c>
      <c r="J27" s="496" t="s">
        <v>393</v>
      </c>
      <c r="L27" s="14" t="s">
        <v>392</v>
      </c>
      <c r="M27" s="497" t="s">
        <v>393</v>
      </c>
      <c r="N27" s="497" t="s">
        <v>393</v>
      </c>
      <c r="P27" s="14" t="s">
        <v>392</v>
      </c>
      <c r="Q27" s="497" t="s">
        <v>393</v>
      </c>
      <c r="R27" s="497" t="s">
        <v>393</v>
      </c>
    </row>
    <row r="28" spans="2:18">
      <c r="B28" s="14" t="s">
        <v>216</v>
      </c>
      <c r="C28" s="497">
        <f t="shared" si="1"/>
        <v>57</v>
      </c>
      <c r="D28" s="495">
        <v>5</v>
      </c>
      <c r="E28" s="498">
        <f>'MA CLAIM FORM'!$F$130/D28</f>
        <v>0.29399999999999998</v>
      </c>
    </row>
    <row r="29" spans="2:18">
      <c r="B29" s="14" t="s">
        <v>217</v>
      </c>
      <c r="C29" s="497">
        <f t="shared" si="1"/>
        <v>69</v>
      </c>
      <c r="D29" s="495">
        <v>4</v>
      </c>
      <c r="E29" s="498">
        <f>'MA CLAIM FORM'!$F$130/D29</f>
        <v>0.36749999999999999</v>
      </c>
    </row>
    <row r="30" spans="2:18">
      <c r="B30" s="14" t="s">
        <v>530</v>
      </c>
      <c r="C30" s="497">
        <v>54</v>
      </c>
      <c r="D30" s="495">
        <v>5</v>
      </c>
      <c r="E30" s="498">
        <f>'MA CLAIM FORM'!$F$130/D30</f>
        <v>0.29399999999999998</v>
      </c>
      <c r="F30" s="500" t="s">
        <v>534</v>
      </c>
    </row>
    <row r="31" spans="2:18">
      <c r="B31" s="14" t="s">
        <v>218</v>
      </c>
      <c r="C31" s="497">
        <f t="shared" si="1"/>
        <v>138</v>
      </c>
      <c r="D31" s="495">
        <v>3.5</v>
      </c>
      <c r="E31" s="498">
        <f>'MA CLAIM FORM'!$F$130/D31</f>
        <v>0.42</v>
      </c>
      <c r="H31" s="36" t="s">
        <v>521</v>
      </c>
    </row>
    <row r="32" spans="2:18" ht="13.5" thickBot="1">
      <c r="B32" s="425"/>
      <c r="C32" s="501"/>
      <c r="D32" s="502"/>
      <c r="E32" s="503"/>
      <c r="H32" s="419" t="s">
        <v>389</v>
      </c>
      <c r="I32" s="420" t="s">
        <v>209</v>
      </c>
      <c r="J32" s="420" t="s">
        <v>390</v>
      </c>
    </row>
    <row r="33" spans="2:10" ht="13.5" thickTop="1">
      <c r="B33" s="426"/>
      <c r="C33" s="427"/>
      <c r="D33" s="43"/>
      <c r="E33" s="969"/>
      <c r="H33" s="495" t="s">
        <v>212</v>
      </c>
      <c r="I33" s="496">
        <v>68</v>
      </c>
      <c r="J33" s="496">
        <v>5</v>
      </c>
    </row>
    <row r="34" spans="2:10" ht="13.5" thickBot="1">
      <c r="B34" s="426"/>
      <c r="C34" s="427"/>
      <c r="D34" s="43"/>
      <c r="E34" s="970"/>
      <c r="H34" s="495" t="s">
        <v>213</v>
      </c>
      <c r="I34" s="496">
        <v>42</v>
      </c>
      <c r="J34" s="496">
        <v>6</v>
      </c>
    </row>
    <row r="35" spans="2:10">
      <c r="H35" s="495" t="s">
        <v>394</v>
      </c>
      <c r="I35" s="496">
        <v>56</v>
      </c>
      <c r="J35" s="496" t="s">
        <v>159</v>
      </c>
    </row>
    <row r="36" spans="2:10">
      <c r="H36" s="495" t="s">
        <v>214</v>
      </c>
      <c r="I36" s="496">
        <v>47</v>
      </c>
      <c r="J36" s="496">
        <v>6</v>
      </c>
    </row>
    <row r="37" spans="2:10">
      <c r="H37" s="495" t="s">
        <v>202</v>
      </c>
      <c r="I37" s="496">
        <v>36</v>
      </c>
      <c r="J37" s="496">
        <v>7</v>
      </c>
    </row>
    <row r="38" spans="2:10">
      <c r="H38" s="495" t="s">
        <v>215</v>
      </c>
      <c r="I38" s="496">
        <v>36</v>
      </c>
      <c r="J38" s="496">
        <v>8</v>
      </c>
    </row>
    <row r="39" spans="2:10">
      <c r="H39" s="495" t="s">
        <v>216</v>
      </c>
      <c r="I39" s="496">
        <v>56</v>
      </c>
      <c r="J39" s="496">
        <v>5</v>
      </c>
    </row>
    <row r="40" spans="2:10">
      <c r="H40" s="495" t="s">
        <v>217</v>
      </c>
      <c r="I40" s="496">
        <v>68</v>
      </c>
      <c r="J40" s="496">
        <v>4</v>
      </c>
    </row>
    <row r="41" spans="2:10">
      <c r="B41" s="971" t="s">
        <v>224</v>
      </c>
      <c r="C41" s="971"/>
      <c r="H41" s="495" t="s">
        <v>530</v>
      </c>
      <c r="I41" s="496">
        <v>54</v>
      </c>
      <c r="J41" s="496">
        <v>5</v>
      </c>
    </row>
    <row r="42" spans="2:10">
      <c r="B42" s="428" t="s">
        <v>192</v>
      </c>
      <c r="C42" s="429"/>
      <c r="H42" s="495" t="s">
        <v>391</v>
      </c>
      <c r="I42" s="496">
        <v>135</v>
      </c>
      <c r="J42" s="496" t="s">
        <v>159</v>
      </c>
    </row>
    <row r="43" spans="2:10">
      <c r="B43" s="430" t="s">
        <v>320</v>
      </c>
      <c r="C43" s="504">
        <v>60</v>
      </c>
      <c r="D43" s="431">
        <f>C43*15%</f>
        <v>9</v>
      </c>
      <c r="H43" s="495" t="s">
        <v>392</v>
      </c>
      <c r="I43" s="496" t="s">
        <v>393</v>
      </c>
      <c r="J43" s="496" t="s">
        <v>393</v>
      </c>
    </row>
    <row r="44" spans="2:10">
      <c r="B44" s="430" t="s">
        <v>319</v>
      </c>
      <c r="C44" s="504">
        <v>100</v>
      </c>
      <c r="D44" s="431">
        <f>C44*15%</f>
        <v>15</v>
      </c>
    </row>
    <row r="45" spans="2:10">
      <c r="B45" s="430" t="s">
        <v>321</v>
      </c>
      <c r="C45" s="504">
        <v>40</v>
      </c>
      <c r="D45" s="431">
        <f>C45*15%</f>
        <v>6</v>
      </c>
    </row>
    <row r="46" spans="2:10">
      <c r="B46" s="430" t="s">
        <v>414</v>
      </c>
      <c r="C46" s="504">
        <v>40</v>
      </c>
      <c r="D46" s="431"/>
    </row>
    <row r="47" spans="2:10">
      <c r="B47" s="430" t="s">
        <v>415</v>
      </c>
      <c r="C47" s="504">
        <v>90</v>
      </c>
      <c r="D47" s="431"/>
    </row>
    <row r="48" spans="2:10">
      <c r="B48" s="430" t="s">
        <v>225</v>
      </c>
      <c r="C48" s="504" t="s">
        <v>159</v>
      </c>
    </row>
    <row r="49" spans="2:8">
      <c r="B49" s="430" t="s">
        <v>226</v>
      </c>
      <c r="C49" s="504"/>
      <c r="H49" s="12" t="s">
        <v>212</v>
      </c>
    </row>
    <row r="50" spans="2:8">
      <c r="B50" s="343"/>
      <c r="C50" s="504"/>
      <c r="H50" s="12" t="s">
        <v>213</v>
      </c>
    </row>
    <row r="51" spans="2:8">
      <c r="B51" s="343"/>
      <c r="C51" s="504"/>
      <c r="H51" s="12" t="s">
        <v>394</v>
      </c>
    </row>
    <row r="52" spans="2:8">
      <c r="H52" s="12" t="s">
        <v>214</v>
      </c>
    </row>
    <row r="53" spans="2:8">
      <c r="H53" s="12" t="s">
        <v>202</v>
      </c>
    </row>
    <row r="54" spans="2:8">
      <c r="B54" s="432" t="s">
        <v>114</v>
      </c>
      <c r="C54" s="432" t="s">
        <v>115</v>
      </c>
      <c r="H54" s="12" t="s">
        <v>215</v>
      </c>
    </row>
    <row r="55" spans="2:8">
      <c r="B55" s="173" t="s">
        <v>239</v>
      </c>
      <c r="C55" s="432" t="s">
        <v>107</v>
      </c>
      <c r="H55" s="12" t="s">
        <v>216</v>
      </c>
    </row>
    <row r="56" spans="2:8">
      <c r="B56" s="43" t="s">
        <v>272</v>
      </c>
      <c r="C56" s="43"/>
      <c r="H56" s="12" t="s">
        <v>217</v>
      </c>
    </row>
    <row r="57" spans="2:8">
      <c r="B57" s="43"/>
      <c r="C57" s="43"/>
      <c r="H57" s="12" t="s">
        <v>391</v>
      </c>
    </row>
    <row r="58" spans="2:8">
      <c r="B58" s="43"/>
      <c r="C58" s="43"/>
      <c r="H58" s="12" t="s">
        <v>530</v>
      </c>
    </row>
    <row r="59" spans="2:8">
      <c r="B59" s="43"/>
      <c r="C59" s="43"/>
    </row>
    <row r="60" spans="2:8">
      <c r="B60" s="43"/>
      <c r="C60" s="43"/>
    </row>
    <row r="61" spans="2:8">
      <c r="B61" s="432" t="s">
        <v>125</v>
      </c>
      <c r="C61" s="432" t="s">
        <v>115</v>
      </c>
    </row>
    <row r="62" spans="2:8">
      <c r="B62" s="173" t="s">
        <v>234</v>
      </c>
      <c r="C62" s="432"/>
    </row>
    <row r="63" spans="2:8">
      <c r="B63" s="173" t="s">
        <v>235</v>
      </c>
      <c r="C63" s="432"/>
    </row>
    <row r="64" spans="2:8">
      <c r="B64" s="43" t="s">
        <v>127</v>
      </c>
      <c r="C64" s="43"/>
    </row>
    <row r="65" spans="2:3">
      <c r="B65" s="43" t="s">
        <v>206</v>
      </c>
      <c r="C65" s="43"/>
    </row>
    <row r="66" spans="2:3">
      <c r="B66" s="43" t="s">
        <v>207</v>
      </c>
      <c r="C66" s="43"/>
    </row>
    <row r="67" spans="2:3">
      <c r="B67" s="43" t="s">
        <v>236</v>
      </c>
      <c r="C67" s="43"/>
    </row>
    <row r="68" spans="2:3">
      <c r="B68" s="43" t="s">
        <v>383</v>
      </c>
      <c r="C68" s="43"/>
    </row>
    <row r="69" spans="2:3">
      <c r="B69" s="43" t="s">
        <v>129</v>
      </c>
      <c r="C69" s="43"/>
    </row>
    <row r="71" spans="2:3">
      <c r="B71" s="432" t="s">
        <v>273</v>
      </c>
      <c r="C71" s="432" t="s">
        <v>115</v>
      </c>
    </row>
    <row r="72" spans="2:3">
      <c r="B72" s="173" t="s">
        <v>239</v>
      </c>
      <c r="C72" s="432"/>
    </row>
    <row r="73" spans="2:3">
      <c r="B73" s="43" t="s">
        <v>303</v>
      </c>
      <c r="C73" s="433">
        <f>ROUND('TDR RESOURCES'!M42,0)</f>
        <v>0</v>
      </c>
    </row>
    <row r="74" spans="2:3">
      <c r="B74" s="43" t="s">
        <v>124</v>
      </c>
      <c r="C74" s="433">
        <f>ROUND('TDR RESOURCES'!M60,0)</f>
        <v>0</v>
      </c>
    </row>
    <row r="77" spans="2:3">
      <c r="B77" s="12" t="s">
        <v>283</v>
      </c>
    </row>
    <row r="78" spans="2:3">
      <c r="B78" s="173" t="s">
        <v>239</v>
      </c>
    </row>
    <row r="79" spans="2:3">
      <c r="B79" s="434" t="s">
        <v>185</v>
      </c>
    </row>
    <row r="80" spans="2:3">
      <c r="B80" s="435" t="s">
        <v>113</v>
      </c>
    </row>
    <row r="81" spans="2:2">
      <c r="B81" s="434" t="s">
        <v>189</v>
      </c>
    </row>
    <row r="82" spans="2:2">
      <c r="B82" s="436" t="s">
        <v>258</v>
      </c>
    </row>
  </sheetData>
  <sortState ref="B40:D44">
    <sortCondition ref="B40:B44"/>
  </sortState>
  <mergeCells count="2">
    <mergeCell ref="E33:E34"/>
    <mergeCell ref="B41:C41"/>
  </mergeCells>
  <pageMargins left="0.75" right="0.75" top="1" bottom="1" header="0.5" footer="0.5"/>
  <pageSetup paperSize="9" orientation="portrait" r:id="rId1"/>
  <headerFooter alignWithMargins="0"/>
  <ignoredErrors>
    <ignoredError sqref="E2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C59"/>
  <sheetViews>
    <sheetView showGridLines="0" zoomScaleNormal="100" workbookViewId="0">
      <selection activeCell="H34" sqref="H34:I34"/>
    </sheetView>
  </sheetViews>
  <sheetFormatPr defaultColWidth="8.88671875" defaultRowHeight="58.5" customHeight="1"/>
  <cols>
    <col min="1" max="1" width="57.21875" style="1" customWidth="1"/>
    <col min="2" max="2" width="8.21875" style="2" customWidth="1"/>
    <col min="3" max="16384" width="8.88671875" style="3"/>
  </cols>
  <sheetData>
    <row r="1" spans="1:3" ht="58.5" customHeight="1">
      <c r="A1" s="1" t="s">
        <v>5</v>
      </c>
      <c r="B1" s="2" t="s">
        <v>6</v>
      </c>
    </row>
    <row r="2" spans="1:3" ht="58.5" customHeight="1">
      <c r="A2" s="4" t="s">
        <v>7</v>
      </c>
    </row>
    <row r="3" spans="1:3" ht="58.5" customHeight="1">
      <c r="A3" s="1" t="s">
        <v>8</v>
      </c>
      <c r="C3" s="3" t="s">
        <v>9</v>
      </c>
    </row>
    <row r="4" spans="1:3" ht="58.5" customHeight="1">
      <c r="A4" s="1" t="s">
        <v>11</v>
      </c>
      <c r="C4" s="3" t="s">
        <v>12</v>
      </c>
    </row>
    <row r="5" spans="1:3" ht="58.5" customHeight="1">
      <c r="A5" s="1" t="s">
        <v>15</v>
      </c>
      <c r="C5" s="3" t="s">
        <v>16</v>
      </c>
    </row>
    <row r="6" spans="1:3" ht="58.5" customHeight="1">
      <c r="A6" s="1" t="s">
        <v>10</v>
      </c>
      <c r="C6" s="3" t="s">
        <v>17</v>
      </c>
    </row>
    <row r="7" spans="1:3" ht="58.5" customHeight="1">
      <c r="A7" s="1" t="s">
        <v>18</v>
      </c>
      <c r="C7" s="3" t="s">
        <v>19</v>
      </c>
    </row>
    <row r="8" spans="1:3" ht="58.5" customHeight="1">
      <c r="A8" s="1" t="s">
        <v>20</v>
      </c>
      <c r="C8" s="3" t="s">
        <v>21</v>
      </c>
    </row>
    <row r="9" spans="1:3" ht="58.5" customHeight="1">
      <c r="A9" s="1" t="s">
        <v>22</v>
      </c>
      <c r="C9" s="3" t="s">
        <v>19</v>
      </c>
    </row>
    <row r="10" spans="1:3" ht="58.5" customHeight="1">
      <c r="A10" s="1" t="s">
        <v>23</v>
      </c>
      <c r="C10" s="3" t="s">
        <v>24</v>
      </c>
    </row>
    <row r="11" spans="1:3" ht="58.5" customHeight="1">
      <c r="A11" s="1" t="s">
        <v>25</v>
      </c>
      <c r="C11" s="3" t="s">
        <v>26</v>
      </c>
    </row>
    <row r="12" spans="1:3" ht="58.5" customHeight="1">
      <c r="A12" s="1" t="s">
        <v>27</v>
      </c>
      <c r="C12" s="3" t="s">
        <v>28</v>
      </c>
    </row>
    <row r="13" spans="1:3" ht="58.5" customHeight="1">
      <c r="A13" s="1" t="s">
        <v>29</v>
      </c>
      <c r="C13" s="3" t="s">
        <v>30</v>
      </c>
    </row>
    <row r="14" spans="1:3" ht="58.5" customHeight="1">
      <c r="A14" s="1" t="s">
        <v>31</v>
      </c>
      <c r="C14" s="3" t="s">
        <v>32</v>
      </c>
    </row>
    <row r="15" spans="1:3" ht="58.5" customHeight="1">
      <c r="A15" s="1" t="s">
        <v>33</v>
      </c>
      <c r="C15" s="3" t="s">
        <v>34</v>
      </c>
    </row>
    <row r="16" spans="1:3" ht="58.5" customHeight="1">
      <c r="A16" s="1" t="s">
        <v>35</v>
      </c>
      <c r="C16" s="3" t="s">
        <v>36</v>
      </c>
    </row>
    <row r="17" spans="1:3" ht="58.5" customHeight="1">
      <c r="A17" s="1" t="s">
        <v>37</v>
      </c>
      <c r="C17" s="3" t="s">
        <v>38</v>
      </c>
    </row>
    <row r="18" spans="1:3" ht="58.5" customHeight="1">
      <c r="A18" s="1" t="s">
        <v>39</v>
      </c>
      <c r="C18" s="3" t="s">
        <v>40</v>
      </c>
    </row>
    <row r="19" spans="1:3" ht="58.5" customHeight="1">
      <c r="A19" s="1" t="s">
        <v>41</v>
      </c>
      <c r="C19" s="3" t="s">
        <v>42</v>
      </c>
    </row>
    <row r="20" spans="1:3" ht="58.5" customHeight="1">
      <c r="A20" s="1" t="s">
        <v>43</v>
      </c>
      <c r="C20" s="3" t="s">
        <v>44</v>
      </c>
    </row>
    <row r="21" spans="1:3" ht="58.5" customHeight="1">
      <c r="A21" s="1" t="s">
        <v>45</v>
      </c>
      <c r="C21" s="3" t="s">
        <v>46</v>
      </c>
    </row>
    <row r="22" spans="1:3" ht="58.5" customHeight="1">
      <c r="A22" s="1" t="s">
        <v>47</v>
      </c>
      <c r="C22" s="3" t="s">
        <v>48</v>
      </c>
    </row>
    <row r="23" spans="1:3" ht="58.5" customHeight="1">
      <c r="A23" s="1" t="s">
        <v>49</v>
      </c>
      <c r="C23" s="3" t="s">
        <v>50</v>
      </c>
    </row>
    <row r="24" spans="1:3" ht="58.5" customHeight="1">
      <c r="A24" s="1" t="s">
        <v>51</v>
      </c>
      <c r="C24" s="3" t="s">
        <v>52</v>
      </c>
    </row>
    <row r="25" spans="1:3" ht="58.5" customHeight="1">
      <c r="A25" s="1" t="s">
        <v>53</v>
      </c>
      <c r="C25" s="3" t="s">
        <v>54</v>
      </c>
    </row>
    <row r="26" spans="1:3" ht="58.5" customHeight="1">
      <c r="A26" s="1" t="s">
        <v>55</v>
      </c>
      <c r="C26" s="3" t="s">
        <v>56</v>
      </c>
    </row>
    <row r="27" spans="1:3" ht="58.5" customHeight="1">
      <c r="A27" s="1" t="s">
        <v>57</v>
      </c>
      <c r="C27" s="3" t="s">
        <v>58</v>
      </c>
    </row>
    <row r="28" spans="1:3" ht="58.5" customHeight="1">
      <c r="A28" s="1" t="s">
        <v>59</v>
      </c>
      <c r="C28" s="3" t="s">
        <v>60</v>
      </c>
    </row>
    <row r="29" spans="1:3" ht="58.5" customHeight="1">
      <c r="A29" s="1" t="s">
        <v>61</v>
      </c>
      <c r="C29" s="3" t="s">
        <v>62</v>
      </c>
    </row>
    <row r="30" spans="1:3" ht="58.5" customHeight="1">
      <c r="A30" s="1" t="s">
        <v>63</v>
      </c>
      <c r="C30" s="3" t="s">
        <v>64</v>
      </c>
    </row>
    <row r="31" spans="1:3" ht="58.5" customHeight="1">
      <c r="A31" s="1" t="s">
        <v>65</v>
      </c>
      <c r="C31" s="3" t="s">
        <v>66</v>
      </c>
    </row>
    <row r="32" spans="1:3" ht="58.5" customHeight="1">
      <c r="A32" s="1" t="s">
        <v>68</v>
      </c>
      <c r="C32" s="3" t="s">
        <v>69</v>
      </c>
    </row>
    <row r="33" spans="1:3" ht="58.5" customHeight="1">
      <c r="A33" s="1" t="s">
        <v>70</v>
      </c>
      <c r="C33" s="3" t="s">
        <v>71</v>
      </c>
    </row>
    <row r="34" spans="1:3" ht="58.5" customHeight="1">
      <c r="A34" s="1" t="s">
        <v>72</v>
      </c>
      <c r="C34" s="3" t="s">
        <v>73</v>
      </c>
    </row>
    <row r="35" spans="1:3" ht="58.5" customHeight="1">
      <c r="A35" s="1" t="s">
        <v>74</v>
      </c>
      <c r="C35" s="3" t="s">
        <v>75</v>
      </c>
    </row>
    <row r="36" spans="1:3" ht="58.5" customHeight="1">
      <c r="A36" s="1" t="s">
        <v>76</v>
      </c>
      <c r="C36" s="3" t="s">
        <v>77</v>
      </c>
    </row>
    <row r="37" spans="1:3" ht="58.5" customHeight="1">
      <c r="A37" s="1" t="s">
        <v>78</v>
      </c>
      <c r="C37" s="3" t="s">
        <v>79</v>
      </c>
    </row>
    <row r="38" spans="1:3" ht="58.5" customHeight="1">
      <c r="A38" s="1" t="s">
        <v>80</v>
      </c>
      <c r="C38" s="3" t="s">
        <v>81</v>
      </c>
    </row>
    <row r="39" spans="1:3" ht="58.5" customHeight="1">
      <c r="A39" s="1" t="s">
        <v>82</v>
      </c>
      <c r="C39" s="3" t="s">
        <v>83</v>
      </c>
    </row>
    <row r="40" spans="1:3" ht="58.5" customHeight="1">
      <c r="A40" s="1" t="s">
        <v>84</v>
      </c>
      <c r="C40" s="3" t="s">
        <v>85</v>
      </c>
    </row>
    <row r="41" spans="1:3" ht="58.5" customHeight="1">
      <c r="A41" s="1" t="s">
        <v>86</v>
      </c>
      <c r="C41" s="3" t="s">
        <v>87</v>
      </c>
    </row>
    <row r="42" spans="1:3" ht="58.5" customHeight="1">
      <c r="A42" s="1" t="s">
        <v>88</v>
      </c>
      <c r="C42" s="3" t="s">
        <v>89</v>
      </c>
    </row>
    <row r="43" spans="1:3" ht="58.5" customHeight="1">
      <c r="A43" s="1" t="s">
        <v>90</v>
      </c>
      <c r="C43" s="3" t="s">
        <v>91</v>
      </c>
    </row>
    <row r="44" spans="1:3" ht="58.5" customHeight="1">
      <c r="A44" s="1" t="s">
        <v>92</v>
      </c>
      <c r="C44" s="3" t="s">
        <v>93</v>
      </c>
    </row>
    <row r="45" spans="1:3" ht="58.5" customHeight="1">
      <c r="A45" s="1" t="s">
        <v>94</v>
      </c>
      <c r="C45" s="3" t="s">
        <v>95</v>
      </c>
    </row>
    <row r="46" spans="1:3" ht="58.5" customHeight="1">
      <c r="A46" s="1" t="s">
        <v>166</v>
      </c>
      <c r="C46" s="3" t="s">
        <v>67</v>
      </c>
    </row>
    <row r="47" spans="1:3" ht="58.5" customHeight="1">
      <c r="A47" s="1" t="s">
        <v>165</v>
      </c>
    </row>
    <row r="48" spans="1:3" ht="58.5" customHeight="1">
      <c r="A48" s="1" t="s">
        <v>13</v>
      </c>
      <c r="C48" s="3" t="s">
        <v>14</v>
      </c>
    </row>
    <row r="49" spans="1:3" ht="58.5" customHeight="1">
      <c r="A49" s="1" t="s">
        <v>167</v>
      </c>
    </row>
    <row r="50" spans="1:3" ht="58.5" customHeight="1">
      <c r="A50" s="1" t="s">
        <v>168</v>
      </c>
    </row>
    <row r="51" spans="1:3" ht="58.5" customHeight="1">
      <c r="A51" s="1" t="s">
        <v>102</v>
      </c>
    </row>
    <row r="52" spans="1:3" ht="58.5" customHeight="1">
      <c r="A52" s="1" t="s">
        <v>387</v>
      </c>
      <c r="B52" s="11" t="s">
        <v>387</v>
      </c>
    </row>
    <row r="53" spans="1:3" ht="58.5" customHeight="1">
      <c r="A53" s="1" t="s">
        <v>105</v>
      </c>
    </row>
    <row r="54" spans="1:3" ht="58.5" customHeight="1">
      <c r="A54" s="1" t="s">
        <v>103</v>
      </c>
    </row>
    <row r="55" spans="1:3" ht="58.5" customHeight="1">
      <c r="A55" s="1" t="s">
        <v>104</v>
      </c>
    </row>
    <row r="56" spans="1:3" ht="58.5" customHeight="1">
      <c r="A56" s="1" t="s">
        <v>409</v>
      </c>
      <c r="C56" s="53" t="s">
        <v>410</v>
      </c>
    </row>
    <row r="57" spans="1:3" ht="58.5" customHeight="1">
      <c r="A57" s="1" t="s">
        <v>411</v>
      </c>
      <c r="C57" s="53" t="s">
        <v>411</v>
      </c>
    </row>
    <row r="58" spans="1:3" ht="58.5" customHeight="1">
      <c r="A58" s="1" t="s">
        <v>412</v>
      </c>
      <c r="C58" s="53" t="s">
        <v>412</v>
      </c>
    </row>
    <row r="59" spans="1:3" ht="58.5" customHeight="1">
      <c r="A59" s="1" t="s">
        <v>96</v>
      </c>
      <c r="C59" s="3" t="s">
        <v>96</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V18"/>
  <sheetViews>
    <sheetView workbookViewId="0">
      <pane xSplit="1" ySplit="2" topLeftCell="B3" activePane="bottomRight" state="frozen"/>
      <selection activeCell="H34" sqref="H34:I34"/>
      <selection pane="topRight" activeCell="H34" sqref="H34:I34"/>
      <selection pane="bottomLeft" activeCell="H34" sqref="H34:I34"/>
      <selection pane="bottomRight" activeCell="B4" sqref="B4"/>
    </sheetView>
  </sheetViews>
  <sheetFormatPr defaultColWidth="8.88671875" defaultRowHeight="12.75"/>
  <cols>
    <col min="1" max="1" width="22" style="12" bestFit="1" customWidth="1"/>
    <col min="2" max="5" width="8.88671875" style="12"/>
    <col min="6" max="6" width="11.88671875" style="12" customWidth="1"/>
    <col min="7" max="7" width="0.77734375" style="12" customWidth="1"/>
    <col min="8" max="8" width="8.88671875" style="12"/>
    <col min="9" max="9" width="16" style="12" customWidth="1"/>
    <col min="10" max="10" width="9" style="12" bestFit="1" customWidth="1"/>
    <col min="11" max="11" width="9.6640625" style="12" bestFit="1" customWidth="1"/>
    <col min="12" max="12" width="9" style="12" bestFit="1" customWidth="1"/>
    <col min="13" max="13" width="9" style="12" customWidth="1"/>
    <col min="14" max="14" width="9" style="12" bestFit="1" customWidth="1"/>
    <col min="15" max="16" width="9.6640625" style="12" bestFit="1" customWidth="1"/>
    <col min="17" max="16384" width="8.88671875" style="12"/>
  </cols>
  <sheetData>
    <row r="1" spans="1:22" ht="13.5" thickBot="1">
      <c r="A1" s="361" t="s">
        <v>106</v>
      </c>
      <c r="B1" s="362"/>
      <c r="C1" s="362"/>
      <c r="D1" s="362"/>
      <c r="E1" s="362"/>
      <c r="F1" s="362"/>
      <c r="G1" s="363"/>
      <c r="J1" s="975" t="s">
        <v>395</v>
      </c>
      <c r="K1" s="976"/>
      <c r="L1" s="976"/>
      <c r="M1" s="976"/>
      <c r="N1" s="976"/>
      <c r="O1" s="976"/>
      <c r="P1" s="976"/>
      <c r="Q1" s="976"/>
      <c r="R1" s="976"/>
      <c r="S1" s="976"/>
      <c r="T1" s="976"/>
      <c r="U1" s="976"/>
      <c r="V1" s="977"/>
    </row>
    <row r="2" spans="1:22" ht="13.5" thickBot="1">
      <c r="A2" s="364"/>
      <c r="B2" s="12" t="s">
        <v>253</v>
      </c>
      <c r="C2" s="12" t="s">
        <v>254</v>
      </c>
      <c r="D2" s="12" t="s">
        <v>255</v>
      </c>
      <c r="E2" s="12" t="s">
        <v>407</v>
      </c>
      <c r="F2" s="12" t="s">
        <v>163</v>
      </c>
      <c r="G2" s="365" t="s">
        <v>160</v>
      </c>
      <c r="I2" s="366" t="s">
        <v>106</v>
      </c>
      <c r="J2" s="972" t="s">
        <v>406</v>
      </c>
      <c r="K2" s="973"/>
      <c r="L2" s="973"/>
      <c r="M2" s="974"/>
      <c r="N2" s="972" t="s">
        <v>403</v>
      </c>
      <c r="O2" s="973"/>
      <c r="P2" s="974"/>
      <c r="Q2" s="972" t="s">
        <v>404</v>
      </c>
      <c r="R2" s="973"/>
      <c r="S2" s="974"/>
      <c r="T2" s="972" t="s">
        <v>405</v>
      </c>
      <c r="U2" s="973"/>
      <c r="V2" s="974"/>
    </row>
    <row r="3" spans="1:22">
      <c r="A3" s="367" t="s">
        <v>192</v>
      </c>
      <c r="G3" s="365"/>
      <c r="I3" s="368" t="s">
        <v>108</v>
      </c>
      <c r="J3" s="369">
        <v>53.407499999999999</v>
      </c>
      <c r="K3" s="370">
        <v>40.055624999999999</v>
      </c>
      <c r="L3" s="371">
        <v>35.515987500000001</v>
      </c>
      <c r="M3" s="372">
        <v>40.049999999999997</v>
      </c>
      <c r="N3" s="373">
        <v>52.66</v>
      </c>
      <c r="O3" s="374">
        <v>39.5</v>
      </c>
      <c r="P3" s="375">
        <v>35.020000000000003</v>
      </c>
      <c r="Q3" s="376">
        <v>50.9</v>
      </c>
      <c r="R3" s="377">
        <v>38.174999999999997</v>
      </c>
      <c r="S3" s="378">
        <v>33.848500000000001</v>
      </c>
      <c r="T3" s="369">
        <v>49.67</v>
      </c>
      <c r="U3" s="370">
        <v>37.25</v>
      </c>
      <c r="V3" s="379">
        <v>33.03</v>
      </c>
    </row>
    <row r="4" spans="1:22">
      <c r="A4" s="415" t="s">
        <v>108</v>
      </c>
      <c r="B4" s="380">
        <f>Rates!G2</f>
        <v>65.897499999999994</v>
      </c>
      <c r="C4" s="380">
        <f>Rates!G3</f>
        <v>49.423124999999999</v>
      </c>
      <c r="D4" s="380">
        <f>Rates!G4</f>
        <v>43.821837500000001</v>
      </c>
      <c r="E4" s="380">
        <f>Rates!G5</f>
        <v>49.423124999999999</v>
      </c>
      <c r="F4" s="381">
        <v>0</v>
      </c>
      <c r="G4" s="382">
        <v>0</v>
      </c>
      <c r="I4" s="383" t="s">
        <v>109</v>
      </c>
      <c r="J4" s="384">
        <v>67.862499999999997</v>
      </c>
      <c r="K4" s="385">
        <v>50.896874999999994</v>
      </c>
      <c r="L4" s="386">
        <v>45.128562500000001</v>
      </c>
      <c r="M4" s="387">
        <v>50.894999999999996</v>
      </c>
      <c r="N4" s="388">
        <v>67.67</v>
      </c>
      <c r="O4" s="389">
        <v>50.75</v>
      </c>
      <c r="P4" s="390">
        <v>45</v>
      </c>
      <c r="Q4" s="391">
        <v>65.752499999999998</v>
      </c>
      <c r="R4" s="392">
        <v>49.314374999999998</v>
      </c>
      <c r="S4" s="393">
        <v>43.725412499999997</v>
      </c>
      <c r="T4" s="384">
        <v>64.17</v>
      </c>
      <c r="U4" s="385">
        <v>48.13</v>
      </c>
      <c r="V4" s="394">
        <v>42.67</v>
      </c>
    </row>
    <row r="5" spans="1:22">
      <c r="A5" s="415" t="s">
        <v>109</v>
      </c>
      <c r="B5" s="414">
        <f>Rates!H2</f>
        <v>81.987499999999997</v>
      </c>
      <c r="C5" s="414">
        <f>Rates!H3</f>
        <v>61.490624999999994</v>
      </c>
      <c r="D5" s="414">
        <f>Rates!H4</f>
        <v>54.521687499999999</v>
      </c>
      <c r="E5" s="414">
        <f>Rates!H5</f>
        <v>61.490624999999994</v>
      </c>
      <c r="F5" s="381">
        <v>0</v>
      </c>
      <c r="G5" s="382">
        <v>0</v>
      </c>
      <c r="I5" s="383" t="s">
        <v>110</v>
      </c>
      <c r="J5" s="384">
        <v>51.817187500000003</v>
      </c>
      <c r="K5" s="385">
        <v>51.817187500000003</v>
      </c>
      <c r="L5" s="386">
        <v>51.817187500000003</v>
      </c>
      <c r="M5" s="387">
        <v>62.175000000000004</v>
      </c>
      <c r="N5" s="388">
        <v>51.85</v>
      </c>
      <c r="O5" s="389">
        <v>51.85</v>
      </c>
      <c r="P5" s="390">
        <v>51.85</v>
      </c>
      <c r="Q5" s="391">
        <v>51.209375000000001</v>
      </c>
      <c r="R5" s="392">
        <v>51.209375000000001</v>
      </c>
      <c r="S5" s="393">
        <v>51.209375000000001</v>
      </c>
      <c r="T5" s="384">
        <v>49.98</v>
      </c>
      <c r="U5" s="385">
        <f>T5</f>
        <v>49.98</v>
      </c>
      <c r="V5" s="394">
        <f>T5</f>
        <v>49.98</v>
      </c>
    </row>
    <row r="6" spans="1:22">
      <c r="A6" s="415" t="s">
        <v>110</v>
      </c>
      <c r="B6" s="414">
        <f>Rates!I2</f>
        <v>61.424999999999997</v>
      </c>
      <c r="C6" s="414">
        <f>Rates!I3</f>
        <v>61.424999999999997</v>
      </c>
      <c r="D6" s="414">
        <f>Rates!I4</f>
        <v>61.424999999999997</v>
      </c>
      <c r="E6" s="414">
        <f>Rates!I5</f>
        <v>73.710000000000008</v>
      </c>
      <c r="F6" s="381">
        <v>0</v>
      </c>
      <c r="G6" s="382">
        <v>0</v>
      </c>
      <c r="I6" s="383" t="s">
        <v>111</v>
      </c>
      <c r="J6" s="384">
        <v>55.503125000000004</v>
      </c>
      <c r="K6" s="385">
        <v>55.503125000000004</v>
      </c>
      <c r="L6" s="386">
        <v>55.503125000000004</v>
      </c>
      <c r="M6" s="387">
        <v>66.599999999999994</v>
      </c>
      <c r="N6" s="388">
        <v>55.54</v>
      </c>
      <c r="O6" s="389">
        <v>55.54</v>
      </c>
      <c r="P6" s="390">
        <v>55.54</v>
      </c>
      <c r="Q6" s="391">
        <v>54.860937500000006</v>
      </c>
      <c r="R6" s="392">
        <v>54.860937500000006</v>
      </c>
      <c r="S6" s="393">
        <v>54.860937500000006</v>
      </c>
      <c r="T6" s="384">
        <v>53.55</v>
      </c>
      <c r="U6" s="385">
        <f>T6</f>
        <v>53.55</v>
      </c>
      <c r="V6" s="394">
        <f>T6</f>
        <v>53.55</v>
      </c>
    </row>
    <row r="7" spans="1:22">
      <c r="A7" s="415" t="s">
        <v>111</v>
      </c>
      <c r="B7" s="414">
        <f>Rates!J2</f>
        <v>68.2734375</v>
      </c>
      <c r="C7" s="414">
        <f>Rates!J3</f>
        <v>68.2734375</v>
      </c>
      <c r="D7" s="414">
        <f>Rates!J4</f>
        <v>68.2734375</v>
      </c>
      <c r="E7" s="414">
        <f>Rates!J5</f>
        <v>81.928124999999994</v>
      </c>
      <c r="F7" s="381">
        <v>0</v>
      </c>
      <c r="G7" s="382">
        <v>0</v>
      </c>
      <c r="I7" s="383" t="s">
        <v>112</v>
      </c>
      <c r="J7" s="384">
        <v>68.178124999999994</v>
      </c>
      <c r="K7" s="385">
        <v>68.178124999999994</v>
      </c>
      <c r="L7" s="386">
        <v>68.178124999999994</v>
      </c>
      <c r="M7" s="387">
        <v>81.81</v>
      </c>
      <c r="N7" s="388">
        <v>68.37</v>
      </c>
      <c r="O7" s="389">
        <v>68.37</v>
      </c>
      <c r="P7" s="390">
        <v>68.37</v>
      </c>
      <c r="Q7" s="391">
        <v>65.779687499999994</v>
      </c>
      <c r="R7" s="392">
        <v>65.779687499999994</v>
      </c>
      <c r="S7" s="393">
        <v>65.779687499999994</v>
      </c>
      <c r="T7" s="384">
        <v>64.150000000000006</v>
      </c>
      <c r="U7" s="385">
        <f>T7</f>
        <v>64.150000000000006</v>
      </c>
      <c r="V7" s="394">
        <f>T7</f>
        <v>64.150000000000006</v>
      </c>
    </row>
    <row r="8" spans="1:22" ht="13.5" thickBot="1">
      <c r="A8" s="415" t="s">
        <v>112</v>
      </c>
      <c r="B8" s="414">
        <f>Rates!K2</f>
        <v>84.2</v>
      </c>
      <c r="C8" s="414">
        <f>Rates!K3</f>
        <v>84.2</v>
      </c>
      <c r="D8" s="414">
        <f>Rates!K4</f>
        <v>84.2</v>
      </c>
      <c r="E8" s="414">
        <f>Rates!K5</f>
        <v>101.03999999999999</v>
      </c>
      <c r="F8" s="381">
        <v>0</v>
      </c>
      <c r="G8" s="382">
        <v>0</v>
      </c>
      <c r="I8" s="395" t="s">
        <v>186</v>
      </c>
      <c r="J8" s="396">
        <v>81.484375</v>
      </c>
      <c r="K8" s="397">
        <v>81.484375</v>
      </c>
      <c r="L8" s="398">
        <v>81.484375</v>
      </c>
      <c r="M8" s="399">
        <v>97.784999999999997</v>
      </c>
      <c r="N8" s="400">
        <v>78.56</v>
      </c>
      <c r="O8" s="401">
        <v>78.56</v>
      </c>
      <c r="P8" s="402">
        <v>78.56</v>
      </c>
      <c r="Q8" s="403">
        <v>76.271874999999994</v>
      </c>
      <c r="R8" s="404">
        <v>76.271874999999994</v>
      </c>
      <c r="S8" s="405">
        <v>76.271874999999994</v>
      </c>
      <c r="T8" s="396">
        <v>74.39</v>
      </c>
      <c r="U8" s="397">
        <f>T8</f>
        <v>74.39</v>
      </c>
      <c r="V8" s="406">
        <f>T8</f>
        <v>74.39</v>
      </c>
    </row>
    <row r="9" spans="1:22">
      <c r="A9" s="415" t="s">
        <v>186</v>
      </c>
      <c r="B9" s="414">
        <f>Rates!L2</f>
        <v>97.212499999999991</v>
      </c>
      <c r="C9" s="414">
        <f>Rates!L3</f>
        <v>97.212499999999991</v>
      </c>
      <c r="D9" s="414">
        <f>Rates!L4</f>
        <v>97.212499999999991</v>
      </c>
      <c r="E9" s="414">
        <f>Rates!L5</f>
        <v>116.655</v>
      </c>
      <c r="F9" s="381">
        <v>0</v>
      </c>
      <c r="G9" s="382">
        <v>0</v>
      </c>
    </row>
    <row r="10" spans="1:22">
      <c r="A10" s="415" t="s">
        <v>380</v>
      </c>
      <c r="B10" s="414">
        <f>Rates!M2</f>
        <v>32.948749999999997</v>
      </c>
      <c r="C10" s="414">
        <f>Rates!M3</f>
        <v>24.711562499999999</v>
      </c>
      <c r="D10" s="414">
        <f>Rates!M4</f>
        <v>21.91091875</v>
      </c>
      <c r="E10" s="414">
        <f>Rates!M5</f>
        <v>24.711562499999999</v>
      </c>
      <c r="F10" s="381">
        <v>0</v>
      </c>
      <c r="G10" s="382">
        <v>0</v>
      </c>
    </row>
    <row r="11" spans="1:22">
      <c r="A11" s="416" t="s">
        <v>538</v>
      </c>
      <c r="B11" s="417">
        <f>Rates!D47</f>
        <v>42.989417989417987</v>
      </c>
      <c r="C11" s="417">
        <f>Rates!D55</f>
        <v>32.242063492063494</v>
      </c>
      <c r="D11" s="417">
        <f>Rates!D63</f>
        <v>32.242063492063494</v>
      </c>
      <c r="E11" s="417">
        <f>Rates!D71</f>
        <v>32.242063492063494</v>
      </c>
      <c r="F11" s="381">
        <v>0</v>
      </c>
      <c r="G11" s="382">
        <v>0</v>
      </c>
      <c r="I11" s="407"/>
      <c r="J11" s="408"/>
      <c r="K11" s="408"/>
      <c r="L11" s="408"/>
      <c r="M11" s="408"/>
      <c r="N11" s="408"/>
      <c r="O11" s="408"/>
      <c r="P11" s="408"/>
    </row>
    <row r="12" spans="1:22">
      <c r="A12" s="416" t="s">
        <v>446</v>
      </c>
      <c r="B12" s="417">
        <f>Rates!D48</f>
        <v>60.582010582010582</v>
      </c>
      <c r="C12" s="417">
        <f>Rates!D56</f>
        <v>45.436507936507937</v>
      </c>
      <c r="D12" s="417">
        <f>Rates!D64</f>
        <v>45.436507936507937</v>
      </c>
      <c r="E12" s="417">
        <f>Rates!D72</f>
        <v>45.436507936507937</v>
      </c>
      <c r="F12" s="381">
        <v>0</v>
      </c>
      <c r="G12" s="382">
        <v>0</v>
      </c>
      <c r="I12" s="409"/>
      <c r="J12" s="410"/>
      <c r="K12" s="410"/>
      <c r="L12" s="410"/>
      <c r="M12" s="410"/>
      <c r="N12" s="410"/>
      <c r="O12" s="410"/>
      <c r="P12" s="410"/>
    </row>
    <row r="13" spans="1:22">
      <c r="A13" s="416" t="s">
        <v>447</v>
      </c>
      <c r="B13" s="417">
        <f>Rates!D49</f>
        <v>78.174603174603178</v>
      </c>
      <c r="C13" s="417">
        <f>Rates!D57</f>
        <v>58.63095238095238</v>
      </c>
      <c r="D13" s="417">
        <f>Rates!D65</f>
        <v>58.63095238095238</v>
      </c>
      <c r="E13" s="417">
        <f>Rates!D73</f>
        <v>58.63095238095238</v>
      </c>
      <c r="F13" s="381">
        <v>0</v>
      </c>
      <c r="G13" s="382">
        <v>0</v>
      </c>
      <c r="I13" s="409" t="s">
        <v>441</v>
      </c>
      <c r="J13" s="411">
        <f>'Police Pay rates'!B27</f>
        <v>65.897499999999994</v>
      </c>
      <c r="K13" s="411">
        <f>'Police Pay rates'!C27</f>
        <v>81.987499999999997</v>
      </c>
      <c r="L13" s="411">
        <f>'Police Pay rates'!D27</f>
        <v>61.424999999999997</v>
      </c>
      <c r="M13" s="411">
        <f>'Police Pay rates'!E27</f>
        <v>68.2734375</v>
      </c>
      <c r="N13" s="411">
        <f>'Police Pay rates'!F27</f>
        <v>84.2</v>
      </c>
      <c r="O13" s="411">
        <f>'Police Pay rates'!G27</f>
        <v>97.212499999999991</v>
      </c>
      <c r="P13" s="410"/>
    </row>
    <row r="14" spans="1:22">
      <c r="A14" s="416" t="s">
        <v>448</v>
      </c>
      <c r="B14" s="417">
        <f>Rates!D50</f>
        <v>95.767195767195773</v>
      </c>
      <c r="C14" s="417">
        <f>Rates!D58</f>
        <v>71.825396825396837</v>
      </c>
      <c r="D14" s="417">
        <f>Rates!D66</f>
        <v>71.825396825396837</v>
      </c>
      <c r="E14" s="417">
        <f>Rates!D74</f>
        <v>71.825396825396837</v>
      </c>
      <c r="F14" s="381">
        <v>0</v>
      </c>
      <c r="G14" s="382">
        <v>0</v>
      </c>
      <c r="I14" s="409" t="s">
        <v>442</v>
      </c>
      <c r="J14" s="411">
        <f>'Police Pay rates'!B28</f>
        <v>49.423124999999999</v>
      </c>
      <c r="K14" s="411">
        <f>'Police Pay rates'!C28</f>
        <v>61.490624999999994</v>
      </c>
      <c r="L14" s="411">
        <f>'Police Pay rates'!D28</f>
        <v>61.424999999999997</v>
      </c>
      <c r="M14" s="411">
        <f>'Police Pay rates'!E28</f>
        <v>68.2734375</v>
      </c>
      <c r="N14" s="411">
        <f>'Police Pay rates'!F28</f>
        <v>84.2</v>
      </c>
      <c r="O14" s="411">
        <f>'Police Pay rates'!G28</f>
        <v>97.212499999999991</v>
      </c>
      <c r="P14" s="410"/>
    </row>
    <row r="15" spans="1:22">
      <c r="A15" s="416" t="s">
        <v>449</v>
      </c>
      <c r="B15" s="417">
        <f>Rates!D51</f>
        <v>114.44978632478632</v>
      </c>
      <c r="C15" s="417">
        <f>Rates!D59</f>
        <v>85.837339743589737</v>
      </c>
      <c r="D15" s="417">
        <f>Rates!D67</f>
        <v>85.837339743589737</v>
      </c>
      <c r="E15" s="417">
        <f>Rates!D75</f>
        <v>85.837339743589737</v>
      </c>
      <c r="F15" s="381">
        <v>0</v>
      </c>
      <c r="G15" s="382">
        <v>0</v>
      </c>
      <c r="I15" s="409" t="s">
        <v>443</v>
      </c>
      <c r="J15" s="411">
        <f>'Police Pay rates'!B29</f>
        <v>43.821837500000001</v>
      </c>
      <c r="K15" s="411">
        <f>'Police Pay rates'!C29</f>
        <v>54.521687499999999</v>
      </c>
      <c r="L15" s="411">
        <f>'Police Pay rates'!D29</f>
        <v>61.424999999999997</v>
      </c>
      <c r="M15" s="411">
        <f>'Police Pay rates'!E29</f>
        <v>68.2734375</v>
      </c>
      <c r="N15" s="411">
        <f>'Police Pay rates'!F29</f>
        <v>84.2</v>
      </c>
      <c r="O15" s="411">
        <f>'Police Pay rates'!G29</f>
        <v>97.212499999999991</v>
      </c>
      <c r="P15" s="410"/>
    </row>
    <row r="16" spans="1:22">
      <c r="A16" s="416" t="s">
        <v>450</v>
      </c>
      <c r="B16" s="417">
        <f>Rates!D52</f>
        <v>132.21153846153845</v>
      </c>
      <c r="C16" s="417">
        <f>Rates!D60</f>
        <v>99.15865384615384</v>
      </c>
      <c r="D16" s="417">
        <f>Rates!D68</f>
        <v>99.15865384615384</v>
      </c>
      <c r="E16" s="417">
        <f>Rates!D76</f>
        <v>99.15865384615384</v>
      </c>
      <c r="F16" s="381">
        <v>0</v>
      </c>
      <c r="G16" s="382">
        <v>0</v>
      </c>
      <c r="I16" s="412" t="s">
        <v>444</v>
      </c>
      <c r="J16" s="411">
        <f>'Police Pay rates'!B30</f>
        <v>49.423124999999999</v>
      </c>
      <c r="K16" s="411">
        <f>'Police Pay rates'!C30</f>
        <v>61.490624999999994</v>
      </c>
      <c r="L16" s="411">
        <f>'Police Pay rates'!D30</f>
        <v>73.710000000000008</v>
      </c>
      <c r="M16" s="411">
        <f>'Police Pay rates'!E30</f>
        <v>81.928124999999994</v>
      </c>
      <c r="N16" s="411">
        <f>'Police Pay rates'!F30</f>
        <v>101.03999999999999</v>
      </c>
      <c r="O16" s="411">
        <f>'Police Pay rates'!G30</f>
        <v>116.655</v>
      </c>
      <c r="P16" s="413"/>
    </row>
    <row r="17" spans="1:16">
      <c r="A17" s="416" t="s">
        <v>451</v>
      </c>
      <c r="B17" s="417">
        <f>Rates!D53</f>
        <v>149.97329059829059</v>
      </c>
      <c r="C17" s="417">
        <f>Rates!D61</f>
        <v>112.47996794871794</v>
      </c>
      <c r="D17" s="417">
        <f>Rates!D69</f>
        <v>112.47996794871794</v>
      </c>
      <c r="E17" s="417">
        <f>Rates!D77</f>
        <v>112.47996794871794</v>
      </c>
      <c r="F17" s="381">
        <v>0</v>
      </c>
      <c r="G17" s="382">
        <v>0</v>
      </c>
      <c r="I17" s="409"/>
      <c r="J17" s="410"/>
      <c r="K17" s="410"/>
      <c r="L17" s="410"/>
      <c r="M17" s="410"/>
      <c r="N17" s="410"/>
      <c r="O17" s="410"/>
      <c r="P17" s="410"/>
    </row>
    <row r="18" spans="1:16">
      <c r="A18" s="416" t="s">
        <v>452</v>
      </c>
      <c r="B18" s="417">
        <f>Rates!D54</f>
        <v>167.73504273504273</v>
      </c>
      <c r="C18" s="417">
        <f>Rates!D62</f>
        <v>125.80128205128204</v>
      </c>
      <c r="D18" s="417">
        <f>Rates!D70</f>
        <v>125.80128205128204</v>
      </c>
      <c r="E18" s="417">
        <f>Rates!D78</f>
        <v>125.80128205128204</v>
      </c>
      <c r="F18" s="381">
        <v>0</v>
      </c>
      <c r="G18" s="382">
        <v>0</v>
      </c>
      <c r="I18" s="412"/>
      <c r="J18" s="413"/>
      <c r="K18" s="413"/>
      <c r="L18" s="413"/>
      <c r="M18" s="413"/>
      <c r="N18" s="413"/>
      <c r="O18" s="413"/>
      <c r="P18" s="413"/>
    </row>
  </sheetData>
  <mergeCells count="5">
    <mergeCell ref="Q2:S2"/>
    <mergeCell ref="T2:V2"/>
    <mergeCell ref="N2:P2"/>
    <mergeCell ref="J1:V1"/>
    <mergeCell ref="J2:M2"/>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M21"/>
  <sheetViews>
    <sheetView zoomScaleNormal="100" workbookViewId="0">
      <selection activeCell="H34" sqref="H34:I34"/>
    </sheetView>
  </sheetViews>
  <sheetFormatPr defaultColWidth="32.88671875" defaultRowHeight="12.75"/>
  <cols>
    <col min="1" max="1" width="29.33203125" style="9" bestFit="1" customWidth="1"/>
    <col min="2" max="2" width="23.33203125" style="7" customWidth="1"/>
    <col min="3" max="3" width="32.77734375" style="5" customWidth="1"/>
    <col min="4" max="4" width="45.44140625" style="5" bestFit="1" customWidth="1"/>
    <col min="5" max="16384" width="32.88671875" style="5"/>
  </cols>
  <sheetData>
    <row r="1" spans="1:13">
      <c r="A1" s="31" t="s">
        <v>131</v>
      </c>
      <c r="B1" s="32" t="s">
        <v>148</v>
      </c>
      <c r="C1" s="32" t="s">
        <v>152</v>
      </c>
      <c r="D1" s="32" t="s">
        <v>158</v>
      </c>
      <c r="E1" s="33" t="s">
        <v>132</v>
      </c>
    </row>
    <row r="2" spans="1:13">
      <c r="A2" s="18" t="s">
        <v>133</v>
      </c>
      <c r="B2" s="19" t="s">
        <v>107</v>
      </c>
      <c r="C2" s="20" t="s">
        <v>107</v>
      </c>
      <c r="D2" s="21" t="s">
        <v>107</v>
      </c>
      <c r="E2" s="22" t="s">
        <v>107</v>
      </c>
    </row>
    <row r="3" spans="1:13" ht="38.25">
      <c r="A3" s="23" t="s">
        <v>142</v>
      </c>
      <c r="B3" s="15" t="s">
        <v>141</v>
      </c>
      <c r="C3" s="15" t="s">
        <v>400</v>
      </c>
      <c r="D3" s="16" t="s">
        <v>175</v>
      </c>
      <c r="E3" s="24" t="s">
        <v>145</v>
      </c>
    </row>
    <row r="4" spans="1:13" ht="51">
      <c r="A4" s="23" t="s">
        <v>143</v>
      </c>
      <c r="B4" s="15" t="s">
        <v>149</v>
      </c>
      <c r="C4" s="15" t="s">
        <v>153</v>
      </c>
      <c r="D4" s="15" t="s">
        <v>157</v>
      </c>
      <c r="E4" s="24" t="s">
        <v>146</v>
      </c>
      <c r="F4" s="6"/>
      <c r="G4" s="6"/>
      <c r="H4" s="6"/>
      <c r="I4" s="6"/>
      <c r="J4" s="6"/>
      <c r="K4" s="6"/>
      <c r="L4" s="6"/>
      <c r="M4" s="6"/>
    </row>
    <row r="5" spans="1:13" ht="51">
      <c r="A5" s="23" t="s">
        <v>144</v>
      </c>
      <c r="B5" s="15" t="s">
        <v>150</v>
      </c>
      <c r="C5" s="15" t="s">
        <v>154</v>
      </c>
      <c r="D5" s="15" t="s">
        <v>396</v>
      </c>
      <c r="E5" s="24" t="s">
        <v>147</v>
      </c>
    </row>
    <row r="6" spans="1:13" ht="63.75">
      <c r="A6" s="23" t="s">
        <v>397</v>
      </c>
      <c r="B6" s="15" t="s">
        <v>398</v>
      </c>
      <c r="C6" s="15" t="s">
        <v>402</v>
      </c>
      <c r="D6" s="15" t="s">
        <v>401</v>
      </c>
      <c r="E6" s="24" t="s">
        <v>399</v>
      </c>
    </row>
    <row r="7" spans="1:13" ht="51">
      <c r="A7" s="23"/>
      <c r="B7" s="15" t="s">
        <v>151</v>
      </c>
      <c r="C7" s="15" t="s">
        <v>159</v>
      </c>
      <c r="D7" s="15" t="s">
        <v>164</v>
      </c>
      <c r="E7" s="24" t="s">
        <v>176</v>
      </c>
    </row>
    <row r="8" spans="1:13" ht="57.75">
      <c r="A8" s="25" t="s">
        <v>160</v>
      </c>
      <c r="B8" s="15" t="s">
        <v>174</v>
      </c>
      <c r="C8" s="15" t="s">
        <v>159</v>
      </c>
      <c r="D8" s="15" t="s">
        <v>170</v>
      </c>
      <c r="E8" s="24" t="s">
        <v>256</v>
      </c>
    </row>
    <row r="9" spans="1:13" ht="51">
      <c r="A9" s="25" t="s">
        <v>163</v>
      </c>
      <c r="B9" s="17" t="s">
        <v>195</v>
      </c>
      <c r="C9" s="15" t="s">
        <v>159</v>
      </c>
      <c r="D9" s="15" t="s">
        <v>134</v>
      </c>
      <c r="E9" s="26" t="s">
        <v>257</v>
      </c>
    </row>
    <row r="10" spans="1:13" ht="26.25" thickBot="1">
      <c r="A10" s="27" t="s">
        <v>161</v>
      </c>
      <c r="B10" s="28" t="s">
        <v>196</v>
      </c>
      <c r="C10" s="29" t="s">
        <v>159</v>
      </c>
      <c r="D10" s="29" t="s">
        <v>173</v>
      </c>
      <c r="E10" s="30" t="s">
        <v>162</v>
      </c>
    </row>
    <row r="11" spans="1:13">
      <c r="B11" s="5"/>
      <c r="C11" s="7"/>
    </row>
    <row r="12" spans="1:13">
      <c r="D12" s="5" t="s">
        <v>170</v>
      </c>
    </row>
    <row r="15" spans="1:13">
      <c r="A15" s="6" t="s">
        <v>182</v>
      </c>
      <c r="B15" s="7" t="s">
        <v>107</v>
      </c>
    </row>
    <row r="16" spans="1:13" ht="25.5">
      <c r="A16" s="6" t="s">
        <v>304</v>
      </c>
      <c r="B16" s="7" t="s">
        <v>184</v>
      </c>
    </row>
    <row r="17" spans="1:3" ht="25.5">
      <c r="A17" s="6" t="s">
        <v>305</v>
      </c>
      <c r="B17" s="7" t="s">
        <v>135</v>
      </c>
    </row>
    <row r="19" spans="1:3">
      <c r="A19" s="6" t="s">
        <v>136</v>
      </c>
      <c r="B19" s="7" t="s">
        <v>107</v>
      </c>
      <c r="C19" s="5" t="s">
        <v>107</v>
      </c>
    </row>
    <row r="20" spans="1:3" ht="25.5">
      <c r="A20" s="8" t="s">
        <v>314</v>
      </c>
      <c r="B20" s="7" t="s">
        <v>183</v>
      </c>
      <c r="C20" s="5" t="s">
        <v>107</v>
      </c>
    </row>
    <row r="21" spans="1:3" ht="25.5">
      <c r="A21" s="8" t="s">
        <v>315</v>
      </c>
      <c r="B21" s="7" t="s">
        <v>187</v>
      </c>
      <c r="C21" s="5" t="s">
        <v>188</v>
      </c>
    </row>
  </sheetData>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H34" sqref="H34:I34"/>
    </sheetView>
  </sheetViews>
  <sheetFormatPr defaultColWidth="8.77734375" defaultRowHeight="15"/>
  <cols>
    <col min="1" max="1" width="27" style="58" bestFit="1" customWidth="1"/>
    <col min="2" max="5" width="13" style="58" bestFit="1" customWidth="1"/>
    <col min="6" max="8" width="13" style="58" customWidth="1"/>
    <col min="9" max="9" width="13" style="58" bestFit="1" customWidth="1"/>
    <col min="10" max="16384" width="8.77734375" style="58"/>
  </cols>
  <sheetData>
    <row r="1" spans="1:9" ht="15.75" thickBot="1">
      <c r="A1" s="54" t="s">
        <v>417</v>
      </c>
      <c r="B1" s="55" t="s">
        <v>418</v>
      </c>
      <c r="C1" s="55" t="s">
        <v>419</v>
      </c>
      <c r="D1" s="55" t="s">
        <v>420</v>
      </c>
      <c r="E1" s="55" t="s">
        <v>421</v>
      </c>
      <c r="F1" s="56" t="s">
        <v>422</v>
      </c>
      <c r="G1" s="55" t="s">
        <v>423</v>
      </c>
      <c r="H1" s="57" t="s">
        <v>424</v>
      </c>
      <c r="I1" s="56" t="s">
        <v>425</v>
      </c>
    </row>
    <row r="2" spans="1:9" ht="15.75" thickBot="1">
      <c r="A2" s="59" t="s">
        <v>426</v>
      </c>
      <c r="B2" s="60">
        <v>25000</v>
      </c>
      <c r="C2" s="60">
        <v>35000</v>
      </c>
      <c r="D2" s="60">
        <v>45000</v>
      </c>
      <c r="E2" s="60">
        <v>55000</v>
      </c>
      <c r="F2" s="60">
        <v>65000</v>
      </c>
      <c r="G2" s="60">
        <v>75000</v>
      </c>
      <c r="H2" s="60">
        <v>85000</v>
      </c>
      <c r="I2" s="60">
        <v>95000</v>
      </c>
    </row>
    <row r="3" spans="1:9" ht="15.75" thickBot="1">
      <c r="A3" s="59" t="s">
        <v>427</v>
      </c>
      <c r="B3" s="60">
        <v>0</v>
      </c>
      <c r="C3" s="60">
        <v>0</v>
      </c>
      <c r="D3" s="60">
        <v>0</v>
      </c>
      <c r="E3" s="60">
        <v>0</v>
      </c>
      <c r="F3" s="60">
        <v>0</v>
      </c>
      <c r="G3" s="60">
        <v>0</v>
      </c>
      <c r="H3" s="60">
        <v>0</v>
      </c>
      <c r="I3" s="60">
        <v>0</v>
      </c>
    </row>
    <row r="4" spans="1:9" ht="15.75" thickBot="1">
      <c r="A4" s="59" t="s">
        <v>428</v>
      </c>
      <c r="B4" s="60">
        <f>B2*0.175</f>
        <v>4375</v>
      </c>
      <c r="C4" s="60">
        <f t="shared" ref="C4:I4" si="0">C2*0.175</f>
        <v>6125</v>
      </c>
      <c r="D4" s="60">
        <f t="shared" si="0"/>
        <v>7874.9999999999991</v>
      </c>
      <c r="E4" s="60">
        <f t="shared" si="0"/>
        <v>9625</v>
      </c>
      <c r="F4" s="60">
        <f t="shared" si="0"/>
        <v>11375</v>
      </c>
      <c r="G4" s="60">
        <f t="shared" si="0"/>
        <v>13125</v>
      </c>
      <c r="H4" s="60">
        <f t="shared" si="0"/>
        <v>14874.999999999998</v>
      </c>
      <c r="I4" s="60">
        <f t="shared" si="0"/>
        <v>16625</v>
      </c>
    </row>
    <row r="5" spans="1:9" ht="15.75" thickBot="1">
      <c r="A5" s="59" t="s">
        <v>429</v>
      </c>
      <c r="B5" s="60">
        <f>(((B2*0.25)-2275)*0.138)+(((B2*0.75)-3750)*0.15)</f>
        <v>2798.55</v>
      </c>
      <c r="C5" s="60">
        <f t="shared" ref="C5:I5" si="1">(((C2*0.25)-2275)*0.138)+(((C2*0.75)-3750)*0.15)</f>
        <v>4268.55</v>
      </c>
      <c r="D5" s="60">
        <f t="shared" si="1"/>
        <v>5738.55</v>
      </c>
      <c r="E5" s="60">
        <f t="shared" si="1"/>
        <v>7208.55</v>
      </c>
      <c r="F5" s="60">
        <f t="shared" si="1"/>
        <v>8678.5499999999993</v>
      </c>
      <c r="G5" s="60">
        <f t="shared" si="1"/>
        <v>10148.549999999999</v>
      </c>
      <c r="H5" s="60">
        <f t="shared" si="1"/>
        <v>11618.55</v>
      </c>
      <c r="I5" s="60">
        <f t="shared" si="1"/>
        <v>13088.55</v>
      </c>
    </row>
    <row r="6" spans="1:9" ht="15.75" thickBot="1">
      <c r="A6" s="61" t="s">
        <v>430</v>
      </c>
      <c r="B6" s="62">
        <f>SUM(B2:B5)</f>
        <v>32173.55</v>
      </c>
      <c r="C6" s="62">
        <f t="shared" ref="C6:I6" si="2">SUM(C2:C5)</f>
        <v>45393.55</v>
      </c>
      <c r="D6" s="62">
        <f t="shared" si="2"/>
        <v>58613.55</v>
      </c>
      <c r="E6" s="62">
        <f t="shared" si="2"/>
        <v>71833.55</v>
      </c>
      <c r="F6" s="62">
        <f t="shared" si="2"/>
        <v>85053.55</v>
      </c>
      <c r="G6" s="62">
        <f t="shared" si="2"/>
        <v>98273.55</v>
      </c>
      <c r="H6" s="62">
        <f t="shared" si="2"/>
        <v>111493.55</v>
      </c>
      <c r="I6" s="62">
        <f t="shared" si="2"/>
        <v>124713.55</v>
      </c>
    </row>
    <row r="7" spans="1:9" ht="15.75" thickBot="1">
      <c r="A7" s="59" t="s">
        <v>431</v>
      </c>
      <c r="B7" s="60">
        <f>B2*0.005</f>
        <v>125</v>
      </c>
      <c r="C7" s="60">
        <f t="shared" ref="C7:I7" si="3">C2*0.005</f>
        <v>175</v>
      </c>
      <c r="D7" s="60">
        <f t="shared" si="3"/>
        <v>225</v>
      </c>
      <c r="E7" s="60">
        <f t="shared" si="3"/>
        <v>275</v>
      </c>
      <c r="F7" s="60">
        <f t="shared" si="3"/>
        <v>325</v>
      </c>
      <c r="G7" s="60">
        <f t="shared" si="3"/>
        <v>375</v>
      </c>
      <c r="H7" s="60">
        <f t="shared" si="3"/>
        <v>425</v>
      </c>
      <c r="I7" s="60">
        <f t="shared" si="3"/>
        <v>475</v>
      </c>
    </row>
    <row r="8" spans="1:9" ht="15.75" thickBot="1">
      <c r="A8" s="61" t="s">
        <v>432</v>
      </c>
      <c r="B8" s="62">
        <f>B6+B7</f>
        <v>32298.55</v>
      </c>
      <c r="C8" s="62">
        <f t="shared" ref="C8:I8" si="4">C6+C7</f>
        <v>45568.55</v>
      </c>
      <c r="D8" s="62">
        <f t="shared" si="4"/>
        <v>58838.55</v>
      </c>
      <c r="E8" s="62">
        <f t="shared" si="4"/>
        <v>72108.55</v>
      </c>
      <c r="F8" s="62">
        <f t="shared" si="4"/>
        <v>85378.55</v>
      </c>
      <c r="G8" s="62">
        <f t="shared" si="4"/>
        <v>98648.55</v>
      </c>
      <c r="H8" s="62">
        <f t="shared" si="4"/>
        <v>111918.55</v>
      </c>
      <c r="I8" s="62">
        <f t="shared" si="4"/>
        <v>125188.55</v>
      </c>
    </row>
    <row r="9" spans="1:9" ht="15.75" thickBot="1">
      <c r="A9" s="59"/>
      <c r="B9" s="63"/>
      <c r="C9" s="63"/>
      <c r="D9" s="63"/>
      <c r="E9" s="63"/>
      <c r="F9" s="63"/>
      <c r="G9" s="63"/>
      <c r="H9" s="63"/>
      <c r="I9" s="63"/>
    </row>
    <row r="10" spans="1:9" ht="15.75" thickBot="1">
      <c r="A10" s="59" t="s">
        <v>433</v>
      </c>
      <c r="B10" s="63">
        <v>365</v>
      </c>
      <c r="C10" s="63">
        <v>365</v>
      </c>
      <c r="D10" s="63">
        <v>365</v>
      </c>
      <c r="E10" s="63">
        <v>365</v>
      </c>
      <c r="F10" s="63">
        <v>365</v>
      </c>
      <c r="G10" s="63">
        <v>365</v>
      </c>
      <c r="H10" s="63">
        <v>365</v>
      </c>
      <c r="I10" s="63">
        <v>365</v>
      </c>
    </row>
    <row r="11" spans="1:9" ht="15.75" thickBot="1">
      <c r="A11" s="59" t="s">
        <v>434</v>
      </c>
      <c r="B11" s="63">
        <v>28</v>
      </c>
      <c r="C11" s="63">
        <v>28</v>
      </c>
      <c r="D11" s="63">
        <v>28</v>
      </c>
      <c r="E11" s="63">
        <v>28</v>
      </c>
      <c r="F11" s="63">
        <v>30</v>
      </c>
      <c r="G11" s="63">
        <v>30</v>
      </c>
      <c r="H11" s="63">
        <v>30</v>
      </c>
      <c r="I11" s="63">
        <v>30</v>
      </c>
    </row>
    <row r="12" spans="1:9" ht="15.75" thickBot="1">
      <c r="A12" s="59" t="s">
        <v>435</v>
      </c>
      <c r="B12" s="63">
        <v>104</v>
      </c>
      <c r="C12" s="63">
        <v>104</v>
      </c>
      <c r="D12" s="63">
        <v>104</v>
      </c>
      <c r="E12" s="63">
        <v>104</v>
      </c>
      <c r="F12" s="63">
        <v>104</v>
      </c>
      <c r="G12" s="63">
        <v>104</v>
      </c>
      <c r="H12" s="63">
        <v>104</v>
      </c>
      <c r="I12" s="63">
        <v>104</v>
      </c>
    </row>
    <row r="13" spans="1:9" ht="15.75" thickBot="1">
      <c r="A13" s="59" t="s">
        <v>436</v>
      </c>
      <c r="B13" s="63">
        <v>8</v>
      </c>
      <c r="C13" s="63">
        <v>8</v>
      </c>
      <c r="D13" s="63">
        <v>8</v>
      </c>
      <c r="E13" s="63">
        <v>8</v>
      </c>
      <c r="F13" s="63">
        <v>8</v>
      </c>
      <c r="G13" s="63">
        <v>8</v>
      </c>
      <c r="H13" s="63">
        <v>8</v>
      </c>
      <c r="I13" s="63">
        <v>8</v>
      </c>
    </row>
    <row r="14" spans="1:9" ht="15.75" thickBot="1">
      <c r="A14" s="59" t="s">
        <v>437</v>
      </c>
      <c r="B14" s="63">
        <v>7</v>
      </c>
      <c r="C14" s="63">
        <v>7</v>
      </c>
      <c r="D14" s="63">
        <v>7</v>
      </c>
      <c r="E14" s="63">
        <v>7</v>
      </c>
      <c r="F14" s="63">
        <v>7</v>
      </c>
      <c r="G14" s="63">
        <v>7</v>
      </c>
      <c r="H14" s="63">
        <v>7</v>
      </c>
      <c r="I14" s="63">
        <v>7</v>
      </c>
    </row>
    <row r="15" spans="1:9" ht="15.75" thickBot="1">
      <c r="A15" s="59" t="s">
        <v>438</v>
      </c>
      <c r="B15" s="63">
        <v>8</v>
      </c>
      <c r="C15" s="63">
        <v>8</v>
      </c>
      <c r="D15" s="63">
        <v>8</v>
      </c>
      <c r="E15" s="63">
        <v>8</v>
      </c>
      <c r="F15" s="63">
        <v>8</v>
      </c>
      <c r="G15" s="63">
        <v>8</v>
      </c>
      <c r="H15" s="63">
        <v>8</v>
      </c>
      <c r="I15" s="63">
        <v>8</v>
      </c>
    </row>
    <row r="16" spans="1:9" ht="15.75" thickBot="1">
      <c r="A16" s="61" t="s">
        <v>271</v>
      </c>
      <c r="B16" s="64">
        <f>B10-SUM(B11:B15)</f>
        <v>210</v>
      </c>
      <c r="C16" s="64">
        <f t="shared" ref="C16:I16" si="5">C10-SUM(C11:C15)</f>
        <v>210</v>
      </c>
      <c r="D16" s="64">
        <f t="shared" si="5"/>
        <v>210</v>
      </c>
      <c r="E16" s="64">
        <f t="shared" si="5"/>
        <v>210</v>
      </c>
      <c r="F16" s="64">
        <f t="shared" si="5"/>
        <v>208</v>
      </c>
      <c r="G16" s="64">
        <f t="shared" si="5"/>
        <v>208</v>
      </c>
      <c r="H16" s="64">
        <f t="shared" si="5"/>
        <v>208</v>
      </c>
      <c r="I16" s="64">
        <f t="shared" si="5"/>
        <v>208</v>
      </c>
    </row>
    <row r="17" spans="1:9" ht="15.75" thickBot="1">
      <c r="A17" s="59"/>
      <c r="B17" s="63"/>
      <c r="C17" s="63"/>
      <c r="D17" s="63"/>
      <c r="E17" s="63"/>
      <c r="F17" s="63"/>
      <c r="G17" s="63"/>
      <c r="H17" s="63"/>
      <c r="I17" s="63"/>
    </row>
    <row r="18" spans="1:9" ht="15.75" thickBot="1">
      <c r="A18" s="59" t="s">
        <v>439</v>
      </c>
      <c r="B18" s="65">
        <f>B8/B16</f>
        <v>153.80261904761903</v>
      </c>
      <c r="C18" s="65">
        <f>C8/C16</f>
        <v>216.99309523809526</v>
      </c>
      <c r="D18" s="65">
        <f t="shared" ref="D18:I18" si="6">D8/D16</f>
        <v>280.18357142857144</v>
      </c>
      <c r="E18" s="65">
        <f t="shared" si="6"/>
        <v>343.37404761904764</v>
      </c>
      <c r="F18" s="65">
        <f t="shared" si="6"/>
        <v>410.47379807692312</v>
      </c>
      <c r="G18" s="65">
        <f t="shared" si="6"/>
        <v>474.27187500000002</v>
      </c>
      <c r="H18" s="65">
        <f t="shared" si="6"/>
        <v>538.06995192307693</v>
      </c>
      <c r="I18" s="65">
        <f t="shared" si="6"/>
        <v>601.86802884615383</v>
      </c>
    </row>
    <row r="19" spans="1:9" ht="15.75" thickBot="1">
      <c r="A19" s="59" t="s">
        <v>440</v>
      </c>
      <c r="B19" s="65">
        <f>B8/(B16*7.2)</f>
        <v>21.361474867724866</v>
      </c>
      <c r="C19" s="65">
        <f t="shared" ref="C19:I19" si="7">C8/(C16*7.2)</f>
        <v>30.137929894179898</v>
      </c>
      <c r="D19" s="65">
        <f t="shared" si="7"/>
        <v>38.914384920634923</v>
      </c>
      <c r="E19" s="65">
        <f t="shared" si="7"/>
        <v>47.690839947089948</v>
      </c>
      <c r="F19" s="65">
        <f t="shared" si="7"/>
        <v>57.010249732905983</v>
      </c>
      <c r="G19" s="65">
        <f t="shared" si="7"/>
        <v>65.87109375</v>
      </c>
      <c r="H19" s="65">
        <f t="shared" si="7"/>
        <v>74.73193776709401</v>
      </c>
      <c r="I19" s="65">
        <f t="shared" si="7"/>
        <v>83.592781784188034</v>
      </c>
    </row>
    <row r="20" spans="1:9" ht="15.75" thickBot="1">
      <c r="A20" s="59"/>
      <c r="B20" s="66"/>
      <c r="C20" s="66"/>
      <c r="D20" s="66"/>
      <c r="E20" s="66"/>
      <c r="F20" s="66"/>
      <c r="G20" s="66"/>
      <c r="H20" s="66"/>
      <c r="I20" s="66"/>
    </row>
    <row r="21" spans="1:9" ht="15.75" thickBot="1">
      <c r="A21" s="67" t="s">
        <v>441</v>
      </c>
      <c r="B21" s="68">
        <f>B19*2</f>
        <v>42.722949735449731</v>
      </c>
      <c r="C21" s="68">
        <f t="shared" ref="C21:I21" si="8">C19*2</f>
        <v>60.275859788359796</v>
      </c>
      <c r="D21" s="68">
        <f t="shared" si="8"/>
        <v>77.828769841269846</v>
      </c>
      <c r="E21" s="68">
        <f t="shared" si="8"/>
        <v>95.381679894179896</v>
      </c>
      <c r="F21" s="68">
        <f t="shared" si="8"/>
        <v>114.02049946581197</v>
      </c>
      <c r="G21" s="68">
        <f t="shared" si="8"/>
        <v>131.7421875</v>
      </c>
      <c r="H21" s="68">
        <f t="shared" si="8"/>
        <v>149.46387553418802</v>
      </c>
      <c r="I21" s="68">
        <f t="shared" si="8"/>
        <v>167.18556356837607</v>
      </c>
    </row>
    <row r="22" spans="1:9" ht="15.75" thickBot="1">
      <c r="A22" s="69" t="s">
        <v>442</v>
      </c>
      <c r="B22" s="70">
        <f>B19*1.5</f>
        <v>32.042212301587298</v>
      </c>
      <c r="C22" s="70">
        <f t="shared" ref="C22:I22" si="9">C19*1.5</f>
        <v>45.206894841269843</v>
      </c>
      <c r="D22" s="70">
        <f t="shared" si="9"/>
        <v>58.371577380952388</v>
      </c>
      <c r="E22" s="70">
        <f t="shared" si="9"/>
        <v>71.536259920634919</v>
      </c>
      <c r="F22" s="70">
        <f t="shared" si="9"/>
        <v>85.515374599358978</v>
      </c>
      <c r="G22" s="70">
        <f t="shared" si="9"/>
        <v>98.806640625</v>
      </c>
      <c r="H22" s="70">
        <f t="shared" si="9"/>
        <v>112.09790665064102</v>
      </c>
      <c r="I22" s="70">
        <f t="shared" si="9"/>
        <v>125.38917267628204</v>
      </c>
    </row>
    <row r="23" spans="1:9" ht="15.75" thickBot="1">
      <c r="A23" s="69" t="s">
        <v>443</v>
      </c>
      <c r="B23" s="70">
        <f>B19*1.5</f>
        <v>32.042212301587298</v>
      </c>
      <c r="C23" s="70">
        <f t="shared" ref="C23:I23" si="10">C19*1.5</f>
        <v>45.206894841269843</v>
      </c>
      <c r="D23" s="70">
        <f t="shared" si="10"/>
        <v>58.371577380952388</v>
      </c>
      <c r="E23" s="70">
        <f t="shared" si="10"/>
        <v>71.536259920634919</v>
      </c>
      <c r="F23" s="70">
        <f t="shared" si="10"/>
        <v>85.515374599358978</v>
      </c>
      <c r="G23" s="70">
        <f t="shared" si="10"/>
        <v>98.806640625</v>
      </c>
      <c r="H23" s="70">
        <f t="shared" si="10"/>
        <v>112.09790665064102</v>
      </c>
      <c r="I23" s="70">
        <f t="shared" si="10"/>
        <v>125.38917267628204</v>
      </c>
    </row>
    <row r="24" spans="1:9" ht="15.75" thickBot="1">
      <c r="A24" s="71" t="s">
        <v>444</v>
      </c>
      <c r="B24" s="70">
        <f>B19*1.5</f>
        <v>32.042212301587298</v>
      </c>
      <c r="C24" s="70">
        <f t="shared" ref="C24:I24" si="11">C19*1.5</f>
        <v>45.206894841269843</v>
      </c>
      <c r="D24" s="70">
        <f t="shared" si="11"/>
        <v>58.371577380952388</v>
      </c>
      <c r="E24" s="70">
        <f t="shared" si="11"/>
        <v>71.536259920634919</v>
      </c>
      <c r="F24" s="70">
        <f t="shared" si="11"/>
        <v>85.515374599358978</v>
      </c>
      <c r="G24" s="70">
        <f t="shared" si="11"/>
        <v>98.806640625</v>
      </c>
      <c r="H24" s="70">
        <f t="shared" si="11"/>
        <v>112.09790665064102</v>
      </c>
      <c r="I24" s="70">
        <f t="shared" si="11"/>
        <v>125.38917267628204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MA CLAIM FORM</vt:lpstr>
      <vt:lpstr>IDR ADDL FORM</vt:lpstr>
      <vt:lpstr>TDR RESOURCES</vt:lpstr>
      <vt:lpstr>Rates</vt:lpstr>
      <vt:lpstr>Equipment</vt:lpstr>
      <vt:lpstr>Crests</vt:lpstr>
      <vt:lpstr>Ranks</vt:lpstr>
      <vt:lpstr>Mutual aid grades definitions</vt:lpstr>
      <vt:lpstr>Mutual Aid</vt:lpstr>
      <vt:lpstr>Police Pay rates</vt:lpstr>
      <vt:lpstr>Staff Rates</vt:lpstr>
      <vt:lpstr>Allow</vt:lpstr>
      <vt:lpstr>Consumables</vt:lpstr>
      <vt:lpstr>Consume</vt:lpstr>
      <vt:lpstr>deploy</vt:lpstr>
      <vt:lpstr>Dive</vt:lpstr>
      <vt:lpstr>Equip</vt:lpstr>
      <vt:lpstr>Equipment_2</vt:lpstr>
      <vt:lpstr>Force</vt:lpstr>
      <vt:lpstr>MAG</vt:lpstr>
      <vt:lpstr>'IDR ADDL FORM'!Print_Area</vt:lpstr>
      <vt:lpstr>'MA CLAIM FORM'!Print_Area</vt:lpstr>
      <vt:lpstr>'TDR RESOURCES'!Print_Area</vt:lpstr>
      <vt:lpstr>Rank</vt:lpstr>
      <vt:lpstr>TDR</vt:lpstr>
      <vt:lpstr>Vehicle</vt:lpstr>
      <vt:lpstr>YesNo</vt:lpstr>
    </vt:vector>
  </TitlesOfParts>
  <Company>Hampshire Constabulary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NPCC FCC MA Claim Form</dc:title>
  <dc:creator>Goddard Shaun B;Bob Meadows 3700</dc:creator>
  <cp:lastModifiedBy>Brookes, Hollie (C2942)</cp:lastModifiedBy>
  <cp:lastPrinted>2018-06-29T10:23:21Z</cp:lastPrinted>
  <dcterms:created xsi:type="dcterms:W3CDTF">2018-02-20T14:59:09Z</dcterms:created>
  <dcterms:modified xsi:type="dcterms:W3CDTF">2026-02-04T15:00:15Z</dcterms:modified>
</cp:coreProperties>
</file>